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629"/>
  <workbookPr showInkAnnotation="0" codeName="ThisWorkbook" autoCompressPictures="0"/>
  <bookViews>
    <workbookView xWindow="0" yWindow="0" windowWidth="25600" windowHeight="16060" tabRatio="776"/>
  </bookViews>
  <sheets>
    <sheet name="LisezMoi" sheetId="19" r:id="rId1"/>
    <sheet name="liste_indices" sheetId="7" state="hidden" r:id="rId2"/>
    <sheet name="formules" sheetId="8" state="hidden" r:id="rId3"/>
    <sheet name="precisions" sheetId="9" state="hidden" r:id="rId4"/>
    <sheet name="emprunts" sheetId="1" r:id="rId5"/>
    <sheet name="refinancements" sheetId="12" r:id="rId6"/>
    <sheet name="emprunts_annees" sheetId="4" r:id="rId7"/>
    <sheet name="preteurs_annees" sheetId="3" r:id="rId8"/>
    <sheet name="categories_annees" sheetId="17" r:id="rId9"/>
    <sheet name="totaux" sheetId="18" r:id="rId10"/>
    <sheet name="Estimations" sheetId="13" r:id="rId11"/>
    <sheet name="Courrier" sheetId="20" r:id="rId12"/>
    <sheet name="pour_pointage_par_emprunt" sheetId="15" r:id="rId13"/>
    <sheet name="graphe_pointage" sheetId="16" r:id="rId14"/>
    <sheet name="documentation" sheetId="2" r:id="rId15"/>
    <sheet name="vieux" sheetId="5" r:id="rId16"/>
    <sheet name="conditions" sheetId="10" r:id="rId17"/>
    <sheet name="pages" sheetId="11" r:id="rId18"/>
  </sheets>
  <definedNames>
    <definedName name="_xlnm._FilterDatabase" localSheetId="8" hidden="1">categories_annees!$A$1:$I$115</definedName>
    <definedName name="_xlnm._FilterDatabase" localSheetId="4" hidden="1">emprunts!$A$1:$AP$149</definedName>
    <definedName name="_xlnm._FilterDatabase" localSheetId="6" hidden="1">emprunts_annees!$A$1:$AC$1367</definedName>
    <definedName name="_xlnm._FilterDatabase" localSheetId="7" hidden="1">preteurs_annees!$A$1:$AA$221</definedName>
    <definedName name="_xlnm._FilterDatabase" localSheetId="5" hidden="1">refinancements!$A$1:$R$105</definedName>
    <definedName name="amortissement">emprunts_annees!$R$123:$R$1367</definedName>
    <definedName name="amortissement_tous">emprunts_annees!$R$2:$R$1367</definedName>
    <definedName name="annee">emprunts_annees!$H$123:$H$1367</definedName>
    <definedName name="Annee_debut">emprunts!$S$2:$S$149</definedName>
    <definedName name="annee_preteur" localSheetId="8">categories_annees!$A$2:$A$115</definedName>
    <definedName name="annee_preteur">preteurs_annees!$A$2:$A$221</definedName>
    <definedName name="année_refi">refinancements!$I$2:$I$105</definedName>
    <definedName name="annee_signature">emprunts!$R$2:$R$149</definedName>
    <definedName name="annee_tous">emprunts_annees!$H$2:$H$1367</definedName>
    <definedName name="annuite">emprunts_annees!$U$123:$U$1367</definedName>
    <definedName name="Categorie">emprunts!$U$2:$U$149</definedName>
    <definedName name="categorie_tous">emprunts_annees!$G$2:$G$1367</definedName>
    <definedName name="De">refinancements!$A$2:$A$105</definedName>
    <definedName name="De_non_1A">refinancements!$H$2:$H$105</definedName>
    <definedName name="differentiel">Estimations!$D$24</definedName>
    <definedName name="encours">emprunts_annees!$O$123:$O$1367</definedName>
    <definedName name="encours_moyen">emprunts_annees!$AC$123:$AC$1367</definedName>
    <definedName name="encours_moyen_estime" localSheetId="8">categories_annees!#REF!</definedName>
    <definedName name="encours_moyen_estime">preteurs_annees!$Z$2:$Z$221</definedName>
    <definedName name="encours_moyen_tous">emprunts_annees!$AC$2:$AC$1367</definedName>
    <definedName name="encours_tous">emprunts_annees!$O$2:$O$1367</definedName>
    <definedName name="F">1/6.55857</definedName>
    <definedName name="fraction_annee_absente">emprunts!$T$2:$T$149</definedName>
    <definedName name="Frais">emprunts_annees!$S$123:$S$1367</definedName>
    <definedName name="frais_preteurs" localSheetId="8">categories_annees!#REF!</definedName>
    <definedName name="frais_preteurs">preteurs_annees!$I$2:$I$221</definedName>
    <definedName name="frais_tous">emprunts_annees!$S$2:$S$1367</definedName>
    <definedName name="ICNE">emprunts_annees!$T$123:$T$1367</definedName>
    <definedName name="ICNE_tous">emprunts_annees!$T$2:$T$1367</definedName>
    <definedName name="interet">emprunts_annees!$Q$123:$Q$1367</definedName>
    <definedName name="interet_tous">emprunts_annees!$Q$2:$Q$1367</definedName>
    <definedName name="interets_preteurs" localSheetId="8">categories_annees!#REF!</definedName>
    <definedName name="interets_preteurs">preteurs_annees!$G$2:$G$221</definedName>
    <definedName name="IRA_aidée">refinancements!$J$2:$J$105</definedName>
    <definedName name="IRA_en_sus">refinancements!$D$2:$D$105</definedName>
    <definedName name="Montant_emprunte">emprunts!$D$2:$D$149</definedName>
    <definedName name="Montant_transfere">refinancements!$C$2:$C$105</definedName>
    <definedName name="preteur">emprunts_annees!$B$123:$B$1367</definedName>
    <definedName name="preteurs">vieux!$A$2:$B$16</definedName>
    <definedName name="Risque_Riskedge">emprunts!$P$2:$P$149</definedName>
    <definedName name="Taux_fixe_1">emprunts!$X$2:$X$149</definedName>
    <definedName name="Vers">refinancements!$B$2:$B$105</definedName>
    <definedName name="_xlnm.Print_Area" localSheetId="10">Estimations!$A$1:$I$50</definedName>
  </definedNames>
  <calcPr calcId="140000" concurrentCalc="0"/>
  <pivotCaches>
    <pivotCache cacheId="52" r:id="rId19"/>
    <pivotCache cacheId="53" r:id="rId20"/>
  </pivotCaches>
  <extLst>
    <ext xmlns:mx="http://schemas.microsoft.com/office/mac/excel/2008/main" uri="{7523E5D3-25F3-A5E0-1632-64F254C22452}">
      <mx:ArchID Flags="2"/>
    </ext>
  </extLst>
</workbook>
</file>

<file path=xl/calcChain.xml><?xml version="1.0" encoding="utf-8"?>
<calcChain xmlns="http://schemas.openxmlformats.org/spreadsheetml/2006/main">
  <c r="R3" i="12" l="1"/>
  <c r="R4" i="12"/>
  <c r="R5" i="12"/>
  <c r="R6" i="12"/>
  <c r="R7" i="12"/>
  <c r="R8" i="12"/>
  <c r="R9" i="12"/>
  <c r="R10" i="12"/>
  <c r="R11" i="12"/>
  <c r="R12" i="12"/>
  <c r="R13" i="12"/>
  <c r="R14" i="12"/>
  <c r="R15" i="12"/>
  <c r="R16" i="12"/>
  <c r="R17" i="12"/>
  <c r="R18" i="12"/>
  <c r="R19" i="12"/>
  <c r="R20" i="12"/>
  <c r="R21" i="12"/>
  <c r="R22" i="12"/>
  <c r="R23" i="12"/>
  <c r="R24" i="12"/>
  <c r="R25" i="12"/>
  <c r="R26" i="12"/>
  <c r="R27" i="12"/>
  <c r="R28" i="12"/>
  <c r="R29" i="12"/>
  <c r="R30" i="12"/>
  <c r="R31" i="12"/>
  <c r="R32" i="12"/>
  <c r="R33" i="12"/>
  <c r="R34" i="12"/>
  <c r="R35" i="12"/>
  <c r="R36" i="12"/>
  <c r="R37" i="12"/>
  <c r="R38" i="12"/>
  <c r="R39" i="12"/>
  <c r="R40" i="12"/>
  <c r="R41" i="12"/>
  <c r="R42" i="12"/>
  <c r="R43" i="12"/>
  <c r="R44" i="12"/>
  <c r="R45" i="12"/>
  <c r="R46" i="12"/>
  <c r="R47" i="12"/>
  <c r="R48" i="12"/>
  <c r="R49" i="12"/>
  <c r="R50" i="12"/>
  <c r="R51" i="12"/>
  <c r="R52" i="12"/>
  <c r="R53" i="12"/>
  <c r="R54" i="12"/>
  <c r="R55" i="12"/>
  <c r="R56" i="12"/>
  <c r="R57" i="12"/>
  <c r="R58" i="12"/>
  <c r="R59" i="12"/>
  <c r="R60" i="12"/>
  <c r="R61" i="12"/>
  <c r="R62" i="12"/>
  <c r="R63" i="12"/>
  <c r="R64" i="12"/>
  <c r="R65" i="12"/>
  <c r="R66" i="12"/>
  <c r="R67" i="12"/>
  <c r="R68" i="12"/>
  <c r="R69" i="12"/>
  <c r="R70" i="12"/>
  <c r="R71" i="12"/>
  <c r="R72" i="12"/>
  <c r="R73" i="12"/>
  <c r="R74" i="12"/>
  <c r="R75" i="12"/>
  <c r="R76" i="12"/>
  <c r="R77" i="12"/>
  <c r="R78" i="12"/>
  <c r="R79" i="12"/>
  <c r="R80" i="12"/>
  <c r="R81" i="12"/>
  <c r="R82" i="12"/>
  <c r="R83" i="12"/>
  <c r="R84" i="12"/>
  <c r="R85" i="12"/>
  <c r="R86" i="12"/>
  <c r="R87" i="12"/>
  <c r="R88" i="12"/>
  <c r="R89" i="12"/>
  <c r="R90" i="12"/>
  <c r="R91" i="12"/>
  <c r="R92" i="12"/>
  <c r="R93" i="12"/>
  <c r="R94" i="12"/>
  <c r="R95" i="12"/>
  <c r="R96" i="12"/>
  <c r="R97" i="12"/>
  <c r="R98" i="12"/>
  <c r="R99" i="12"/>
  <c r="R100" i="12"/>
  <c r="R101" i="12"/>
  <c r="R102" i="12"/>
  <c r="R103" i="12"/>
  <c r="R104" i="12"/>
  <c r="R105" i="12"/>
  <c r="R2" i="12"/>
  <c r="O3" i="12"/>
  <c r="P3" i="12"/>
  <c r="Q3" i="12"/>
  <c r="O4" i="12"/>
  <c r="P4" i="12"/>
  <c r="Q4" i="12"/>
  <c r="O5" i="12"/>
  <c r="P5" i="12"/>
  <c r="Q5" i="12"/>
  <c r="O6" i="12"/>
  <c r="P6" i="12"/>
  <c r="Q6" i="12"/>
  <c r="O7" i="12"/>
  <c r="P7" i="12"/>
  <c r="Q7" i="12"/>
  <c r="O8" i="12"/>
  <c r="P8" i="12"/>
  <c r="Q8" i="12"/>
  <c r="O9" i="12"/>
  <c r="P9" i="12"/>
  <c r="Q9" i="12"/>
  <c r="O10" i="12"/>
  <c r="P10" i="12"/>
  <c r="Q10" i="12"/>
  <c r="O11" i="12"/>
  <c r="P11" i="12"/>
  <c r="Q11" i="12"/>
  <c r="O12" i="12"/>
  <c r="P12" i="12"/>
  <c r="Q12" i="12"/>
  <c r="O13" i="12"/>
  <c r="P13" i="12"/>
  <c r="Q13" i="12"/>
  <c r="O14" i="12"/>
  <c r="P14" i="12"/>
  <c r="Q14" i="12"/>
  <c r="O15" i="12"/>
  <c r="P15" i="12"/>
  <c r="Q15" i="12"/>
  <c r="O16" i="12"/>
  <c r="P16" i="12"/>
  <c r="Q16" i="12"/>
  <c r="O17" i="12"/>
  <c r="P17" i="12"/>
  <c r="Q17" i="12"/>
  <c r="O18" i="12"/>
  <c r="P18" i="12"/>
  <c r="Q18" i="12"/>
  <c r="O19" i="12"/>
  <c r="P19" i="12"/>
  <c r="Q19" i="12"/>
  <c r="O20" i="12"/>
  <c r="P20" i="12"/>
  <c r="Q20" i="12"/>
  <c r="O21" i="12"/>
  <c r="P21" i="12"/>
  <c r="Q21" i="12"/>
  <c r="O22" i="12"/>
  <c r="P22" i="12"/>
  <c r="Q22" i="12"/>
  <c r="O23" i="12"/>
  <c r="P23" i="12"/>
  <c r="Q23" i="12"/>
  <c r="O24" i="12"/>
  <c r="P24" i="12"/>
  <c r="Q24" i="12"/>
  <c r="O25" i="12"/>
  <c r="P25" i="12"/>
  <c r="Q25" i="12"/>
  <c r="O26" i="12"/>
  <c r="P26" i="12"/>
  <c r="Q26" i="12"/>
  <c r="O27" i="12"/>
  <c r="P27" i="12"/>
  <c r="Q27" i="12"/>
  <c r="O28" i="12"/>
  <c r="P28" i="12"/>
  <c r="Q28" i="12"/>
  <c r="O29" i="12"/>
  <c r="P29" i="12"/>
  <c r="Q29" i="12"/>
  <c r="O30" i="12"/>
  <c r="P30" i="12"/>
  <c r="Q30" i="12"/>
  <c r="O31" i="12"/>
  <c r="P31" i="12"/>
  <c r="Q31" i="12"/>
  <c r="O32" i="12"/>
  <c r="P32" i="12"/>
  <c r="Q32" i="12"/>
  <c r="O33" i="12"/>
  <c r="P33" i="12"/>
  <c r="Q33" i="12"/>
  <c r="O34" i="12"/>
  <c r="P34" i="12"/>
  <c r="Q34" i="12"/>
  <c r="O35" i="12"/>
  <c r="P35" i="12"/>
  <c r="Q35" i="12"/>
  <c r="O36" i="12"/>
  <c r="P36" i="12"/>
  <c r="Q36" i="12"/>
  <c r="O37" i="12"/>
  <c r="P37" i="12"/>
  <c r="Q37" i="12"/>
  <c r="O38" i="12"/>
  <c r="P38" i="12"/>
  <c r="Q38" i="12"/>
  <c r="O39" i="12"/>
  <c r="P39" i="12"/>
  <c r="Q39" i="12"/>
  <c r="O40" i="12"/>
  <c r="P40" i="12"/>
  <c r="Q40" i="12"/>
  <c r="O41" i="12"/>
  <c r="P41" i="12"/>
  <c r="Q41" i="12"/>
  <c r="O42" i="12"/>
  <c r="P42" i="12"/>
  <c r="Q42" i="12"/>
  <c r="O43" i="12"/>
  <c r="P43" i="12"/>
  <c r="Q43" i="12"/>
  <c r="O44" i="12"/>
  <c r="P44" i="12"/>
  <c r="Q44" i="12"/>
  <c r="O45" i="12"/>
  <c r="P45" i="12"/>
  <c r="Q45" i="12"/>
  <c r="O46" i="12"/>
  <c r="P46" i="12"/>
  <c r="Q46" i="12"/>
  <c r="O47" i="12"/>
  <c r="P47" i="12"/>
  <c r="Q47" i="12"/>
  <c r="O48" i="12"/>
  <c r="P48" i="12"/>
  <c r="Q48" i="12"/>
  <c r="O49" i="12"/>
  <c r="P49" i="12"/>
  <c r="Q49" i="12"/>
  <c r="O50" i="12"/>
  <c r="P50" i="12"/>
  <c r="Q50" i="12"/>
  <c r="O51" i="12"/>
  <c r="P51" i="12"/>
  <c r="Q51" i="12"/>
  <c r="O52" i="12"/>
  <c r="P52" i="12"/>
  <c r="Q52" i="12"/>
  <c r="O53" i="12"/>
  <c r="P53" i="12"/>
  <c r="Q53" i="12"/>
  <c r="O54" i="12"/>
  <c r="P54" i="12"/>
  <c r="Q54" i="12"/>
  <c r="O55" i="12"/>
  <c r="P55" i="12"/>
  <c r="Q55" i="12"/>
  <c r="O56" i="12"/>
  <c r="P56" i="12"/>
  <c r="Q56" i="12"/>
  <c r="O57" i="12"/>
  <c r="P57" i="12"/>
  <c r="Q57" i="12"/>
  <c r="O58" i="12"/>
  <c r="P58" i="12"/>
  <c r="Q58" i="12"/>
  <c r="O59" i="12"/>
  <c r="P59" i="12"/>
  <c r="Q59" i="12"/>
  <c r="O60" i="12"/>
  <c r="P60" i="12"/>
  <c r="Q60" i="12"/>
  <c r="O61" i="12"/>
  <c r="P61" i="12"/>
  <c r="Q61" i="12"/>
  <c r="O62" i="12"/>
  <c r="P62" i="12"/>
  <c r="Q62" i="12"/>
  <c r="O63" i="12"/>
  <c r="P63" i="12"/>
  <c r="Q63" i="12"/>
  <c r="O64" i="12"/>
  <c r="P64" i="12"/>
  <c r="Q64" i="12"/>
  <c r="O65" i="12"/>
  <c r="P65" i="12"/>
  <c r="Q65" i="12"/>
  <c r="O66" i="12"/>
  <c r="P66" i="12"/>
  <c r="Q66" i="12"/>
  <c r="O67" i="12"/>
  <c r="P67" i="12"/>
  <c r="Q67" i="12"/>
  <c r="O68" i="12"/>
  <c r="P68" i="12"/>
  <c r="Q68" i="12"/>
  <c r="O69" i="12"/>
  <c r="P69" i="12"/>
  <c r="Q69" i="12"/>
  <c r="O70" i="12"/>
  <c r="P70" i="12"/>
  <c r="Q70" i="12"/>
  <c r="O71" i="12"/>
  <c r="P71" i="12"/>
  <c r="Q71" i="12"/>
  <c r="O72" i="12"/>
  <c r="P72" i="12"/>
  <c r="Q72" i="12"/>
  <c r="O73" i="12"/>
  <c r="P73" i="12"/>
  <c r="Q73" i="12"/>
  <c r="O74" i="12"/>
  <c r="P74" i="12"/>
  <c r="Q74" i="12"/>
  <c r="O75" i="12"/>
  <c r="P75" i="12"/>
  <c r="Q75" i="12"/>
  <c r="O76" i="12"/>
  <c r="P76" i="12"/>
  <c r="Q76" i="12"/>
  <c r="O77" i="12"/>
  <c r="P77" i="12"/>
  <c r="Q77" i="12"/>
  <c r="O78" i="12"/>
  <c r="P78" i="12"/>
  <c r="Q78" i="12"/>
  <c r="O79" i="12"/>
  <c r="P79" i="12"/>
  <c r="Q79" i="12"/>
  <c r="O80" i="12"/>
  <c r="P80" i="12"/>
  <c r="Q80" i="12"/>
  <c r="O81" i="12"/>
  <c r="P81" i="12"/>
  <c r="Q81" i="12"/>
  <c r="O82" i="12"/>
  <c r="P82" i="12"/>
  <c r="Q82" i="12"/>
  <c r="O83" i="12"/>
  <c r="P83" i="12"/>
  <c r="Q83" i="12"/>
  <c r="O84" i="12"/>
  <c r="P84" i="12"/>
  <c r="Q84" i="12"/>
  <c r="O85" i="12"/>
  <c r="P85" i="12"/>
  <c r="Q85" i="12"/>
  <c r="O86" i="12"/>
  <c r="P86" i="12"/>
  <c r="Q86" i="12"/>
  <c r="O87" i="12"/>
  <c r="P87" i="12"/>
  <c r="Q87" i="12"/>
  <c r="O88" i="12"/>
  <c r="P88" i="12"/>
  <c r="Q88" i="12"/>
  <c r="O89" i="12"/>
  <c r="P89" i="12"/>
  <c r="Q89" i="12"/>
  <c r="O90" i="12"/>
  <c r="P90" i="12"/>
  <c r="Q90" i="12"/>
  <c r="O91" i="12"/>
  <c r="P91" i="12"/>
  <c r="Q91" i="12"/>
  <c r="O92" i="12"/>
  <c r="P92" i="12"/>
  <c r="Q92" i="12"/>
  <c r="O93" i="12"/>
  <c r="P93" i="12"/>
  <c r="Q93" i="12"/>
  <c r="O94" i="12"/>
  <c r="P94" i="12"/>
  <c r="Q94" i="12"/>
  <c r="O95" i="12"/>
  <c r="P95" i="12"/>
  <c r="Q95" i="12"/>
  <c r="O96" i="12"/>
  <c r="P96" i="12"/>
  <c r="Q96" i="12"/>
  <c r="O97" i="12"/>
  <c r="P97" i="12"/>
  <c r="Q97" i="12"/>
  <c r="O98" i="12"/>
  <c r="P98" i="12"/>
  <c r="Q98" i="12"/>
  <c r="O99" i="12"/>
  <c r="P99" i="12"/>
  <c r="Q99" i="12"/>
  <c r="O100" i="12"/>
  <c r="P100" i="12"/>
  <c r="Q100" i="12"/>
  <c r="O101" i="12"/>
  <c r="P101" i="12"/>
  <c r="Q101" i="12"/>
  <c r="O102" i="12"/>
  <c r="P102" i="12"/>
  <c r="Q102" i="12"/>
  <c r="O103" i="12"/>
  <c r="P103" i="12"/>
  <c r="Q103" i="12"/>
  <c r="O104" i="12"/>
  <c r="P104" i="12"/>
  <c r="Q104" i="12"/>
  <c r="O105" i="12"/>
  <c r="P105" i="12"/>
  <c r="Q105" i="12"/>
  <c r="O2" i="12"/>
  <c r="P2" i="12"/>
  <c r="Q2" i="12"/>
  <c r="D152" i="1"/>
  <c r="D151" i="1"/>
  <c r="Q151" i="1"/>
  <c r="Q152" i="1"/>
  <c r="L5" i="18"/>
  <c r="L6" i="18"/>
  <c r="L7" i="18"/>
  <c r="L8" i="18"/>
  <c r="L9" i="18"/>
  <c r="L10" i="18"/>
  <c r="L11" i="18"/>
  <c r="L12" i="18"/>
  <c r="L13" i="18"/>
  <c r="L14" i="18"/>
  <c r="L15" i="18"/>
  <c r="L16" i="18"/>
  <c r="L17" i="18"/>
  <c r="L18" i="18"/>
  <c r="L19" i="18"/>
  <c r="L20" i="18"/>
  <c r="L21" i="18"/>
  <c r="L22" i="18"/>
  <c r="L23" i="18"/>
  <c r="M23" i="18"/>
  <c r="M22" i="18"/>
  <c r="M21" i="18"/>
  <c r="M20" i="18"/>
  <c r="M19" i="18"/>
  <c r="M18" i="18"/>
  <c r="M17" i="18"/>
  <c r="M16" i="18"/>
  <c r="M15" i="18"/>
  <c r="M14" i="18"/>
  <c r="M13" i="18"/>
  <c r="M12" i="18"/>
  <c r="M11" i="18"/>
  <c r="M10" i="18"/>
  <c r="M9" i="18"/>
  <c r="M8" i="18"/>
  <c r="M7" i="18"/>
  <c r="M6" i="18"/>
  <c r="M5" i="18"/>
  <c r="J3" i="12"/>
  <c r="J4" i="12"/>
  <c r="J5" i="12"/>
  <c r="J6" i="12"/>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2" i="12"/>
  <c r="L26" i="18"/>
  <c r="T123" i="4"/>
  <c r="T124" i="4"/>
  <c r="T127" i="4"/>
  <c r="T567" i="4"/>
  <c r="O123" i="4"/>
  <c r="O124" i="4"/>
  <c r="O127" i="4"/>
  <c r="O448" i="4"/>
  <c r="O722" i="4"/>
  <c r="B533" i="4"/>
  <c r="C533" i="4"/>
  <c r="O15" i="1"/>
  <c r="D533" i="4"/>
  <c r="E533" i="4"/>
  <c r="F533" i="4"/>
  <c r="I533" i="4"/>
  <c r="V533" i="4"/>
  <c r="AA533" i="4"/>
  <c r="Y533" i="4"/>
  <c r="B469" i="4"/>
  <c r="C469" i="4"/>
  <c r="D469" i="4"/>
  <c r="E469" i="4"/>
  <c r="F469" i="4"/>
  <c r="I469" i="4"/>
  <c r="V469" i="4"/>
  <c r="AA469" i="4"/>
  <c r="Y469" i="4"/>
  <c r="R336" i="4"/>
  <c r="Z23" i="18"/>
  <c r="I23" i="18"/>
  <c r="AM23" i="18"/>
  <c r="AA23" i="18"/>
  <c r="J23" i="18"/>
  <c r="AN23" i="18"/>
  <c r="AO23" i="18"/>
  <c r="K23" i="18"/>
  <c r="Z22" i="18"/>
  <c r="I22" i="18"/>
  <c r="AM22" i="18"/>
  <c r="AA22" i="18"/>
  <c r="J22" i="18"/>
  <c r="AN22" i="18"/>
  <c r="AO22" i="18"/>
  <c r="K22" i="18"/>
  <c r="Z21" i="18"/>
  <c r="I21" i="18"/>
  <c r="AM21" i="18"/>
  <c r="AA21" i="18"/>
  <c r="J21" i="18"/>
  <c r="AN21" i="18"/>
  <c r="AO21" i="18"/>
  <c r="K21" i="18"/>
  <c r="Z20" i="18"/>
  <c r="I20" i="18"/>
  <c r="AM20" i="18"/>
  <c r="AA20" i="18"/>
  <c r="J20" i="18"/>
  <c r="AN20" i="18"/>
  <c r="AO20" i="18"/>
  <c r="K20" i="18"/>
  <c r="Z19" i="18"/>
  <c r="I19" i="18"/>
  <c r="AM19" i="18"/>
  <c r="AA19" i="18"/>
  <c r="J19" i="18"/>
  <c r="AN19" i="18"/>
  <c r="AO19" i="18"/>
  <c r="K19" i="18"/>
  <c r="Z18" i="18"/>
  <c r="I18" i="18"/>
  <c r="AM18" i="18"/>
  <c r="AA18" i="18"/>
  <c r="J18" i="18"/>
  <c r="AN18" i="18"/>
  <c r="AO18" i="18"/>
  <c r="K18" i="18"/>
  <c r="Z17" i="18"/>
  <c r="I17" i="18"/>
  <c r="AM17" i="18"/>
  <c r="AA17" i="18"/>
  <c r="J17" i="18"/>
  <c r="AN17" i="18"/>
  <c r="AO17" i="18"/>
  <c r="K17" i="18"/>
  <c r="Z16" i="18"/>
  <c r="I16" i="18"/>
  <c r="AM16" i="18"/>
  <c r="AA16" i="18"/>
  <c r="J16" i="18"/>
  <c r="AN16" i="18"/>
  <c r="AO16" i="18"/>
  <c r="K16" i="18"/>
  <c r="Z15" i="18"/>
  <c r="I15" i="18"/>
  <c r="AM15" i="18"/>
  <c r="AA15" i="18"/>
  <c r="J15" i="18"/>
  <c r="AN15" i="18"/>
  <c r="AO15" i="18"/>
  <c r="K15" i="18"/>
  <c r="Z14" i="18"/>
  <c r="I14" i="18"/>
  <c r="AM14" i="18"/>
  <c r="AA14" i="18"/>
  <c r="J14" i="18"/>
  <c r="AN14" i="18"/>
  <c r="AO14" i="18"/>
  <c r="K14" i="18"/>
  <c r="Z13" i="18"/>
  <c r="I13" i="18"/>
  <c r="AM13" i="18"/>
  <c r="AA13" i="18"/>
  <c r="J13" i="18"/>
  <c r="AN13" i="18"/>
  <c r="AO13" i="18"/>
  <c r="K13" i="18"/>
  <c r="Z12" i="18"/>
  <c r="I12" i="18"/>
  <c r="AM12" i="18"/>
  <c r="AA12" i="18"/>
  <c r="J12" i="18"/>
  <c r="AN12" i="18"/>
  <c r="AO12" i="18"/>
  <c r="K12" i="18"/>
  <c r="Z11" i="18"/>
  <c r="I11" i="18"/>
  <c r="AM11" i="18"/>
  <c r="AA11" i="18"/>
  <c r="J11" i="18"/>
  <c r="AN11" i="18"/>
  <c r="AO11" i="18"/>
  <c r="K11" i="18"/>
  <c r="Z10" i="18"/>
  <c r="I10" i="18"/>
  <c r="AM10" i="18"/>
  <c r="AA10" i="18"/>
  <c r="J10" i="18"/>
  <c r="AN10" i="18"/>
  <c r="AO10" i="18"/>
  <c r="K10" i="18"/>
  <c r="Z9" i="18"/>
  <c r="I9" i="18"/>
  <c r="AM9" i="18"/>
  <c r="AA9" i="18"/>
  <c r="J9" i="18"/>
  <c r="AN9" i="18"/>
  <c r="AO9" i="18"/>
  <c r="K9" i="18"/>
  <c r="Z8" i="18"/>
  <c r="I8" i="18"/>
  <c r="AM8" i="18"/>
  <c r="AA8" i="18"/>
  <c r="J8" i="18"/>
  <c r="AN8" i="18"/>
  <c r="AO8" i="18"/>
  <c r="K8" i="18"/>
  <c r="Z7" i="18"/>
  <c r="I7" i="18"/>
  <c r="AM7" i="18"/>
  <c r="AA7" i="18"/>
  <c r="J7" i="18"/>
  <c r="AN7" i="18"/>
  <c r="AO7" i="18"/>
  <c r="K7" i="18"/>
  <c r="AI23" i="18"/>
  <c r="AG23" i="18"/>
  <c r="AO25" i="18"/>
  <c r="AF23" i="18"/>
  <c r="AF22" i="18"/>
  <c r="AF21" i="18"/>
  <c r="AF20" i="18"/>
  <c r="AF19" i="18"/>
  <c r="AF18" i="18"/>
  <c r="AF17" i="18"/>
  <c r="AF16" i="18"/>
  <c r="AF15" i="18"/>
  <c r="AF14" i="18"/>
  <c r="AF13" i="18"/>
  <c r="AF12" i="18"/>
  <c r="AF11" i="18"/>
  <c r="AF10" i="18"/>
  <c r="AF9" i="18"/>
  <c r="AF8" i="18"/>
  <c r="AF7" i="18"/>
  <c r="AF6" i="18"/>
  <c r="AF5" i="18"/>
  <c r="AL23" i="18"/>
  <c r="AK23" i="18"/>
  <c r="AJ23" i="18"/>
  <c r="AH23" i="18"/>
  <c r="AL22" i="18"/>
  <c r="AK22" i="18"/>
  <c r="AJ22" i="18"/>
  <c r="AI22" i="18"/>
  <c r="AH22" i="18"/>
  <c r="AG22" i="18"/>
  <c r="AL21" i="18"/>
  <c r="AK21" i="18"/>
  <c r="AJ21" i="18"/>
  <c r="AI21" i="18"/>
  <c r="AH21" i="18"/>
  <c r="AG21" i="18"/>
  <c r="AL20" i="18"/>
  <c r="AK20" i="18"/>
  <c r="AJ20" i="18"/>
  <c r="AI20" i="18"/>
  <c r="AH20" i="18"/>
  <c r="AG20" i="18"/>
  <c r="AL19" i="18"/>
  <c r="AK19" i="18"/>
  <c r="AJ19" i="18"/>
  <c r="AI19" i="18"/>
  <c r="AH19" i="18"/>
  <c r="AG19" i="18"/>
  <c r="AL18" i="18"/>
  <c r="AK18" i="18"/>
  <c r="AJ18" i="18"/>
  <c r="AI18" i="18"/>
  <c r="AH18" i="18"/>
  <c r="AG18" i="18"/>
  <c r="AL17" i="18"/>
  <c r="AK17" i="18"/>
  <c r="AJ17" i="18"/>
  <c r="AI17" i="18"/>
  <c r="AH17" i="18"/>
  <c r="AG17" i="18"/>
  <c r="AL16" i="18"/>
  <c r="AK16" i="18"/>
  <c r="AJ16" i="18"/>
  <c r="AI16" i="18"/>
  <c r="AH16" i="18"/>
  <c r="AG16" i="18"/>
  <c r="AL15" i="18"/>
  <c r="AK15" i="18"/>
  <c r="AJ15" i="18"/>
  <c r="AI15" i="18"/>
  <c r="AH15" i="18"/>
  <c r="AG15" i="18"/>
  <c r="AL14" i="18"/>
  <c r="AK14" i="18"/>
  <c r="AJ14" i="18"/>
  <c r="AI14" i="18"/>
  <c r="AH14" i="18"/>
  <c r="AG14" i="18"/>
  <c r="AL13" i="18"/>
  <c r="AK13" i="18"/>
  <c r="AJ13" i="18"/>
  <c r="AI13" i="18"/>
  <c r="AH13" i="18"/>
  <c r="AG13" i="18"/>
  <c r="AL12" i="18"/>
  <c r="AK12" i="18"/>
  <c r="AJ12" i="18"/>
  <c r="AI12" i="18"/>
  <c r="AH12" i="18"/>
  <c r="AG12" i="18"/>
  <c r="AL11" i="18"/>
  <c r="AK11" i="18"/>
  <c r="AJ11" i="18"/>
  <c r="AI11" i="18"/>
  <c r="AH11" i="18"/>
  <c r="AG11" i="18"/>
  <c r="AL10" i="18"/>
  <c r="AK10" i="18"/>
  <c r="AJ10" i="18"/>
  <c r="AI10" i="18"/>
  <c r="AH10" i="18"/>
  <c r="AG10" i="18"/>
  <c r="AL9" i="18"/>
  <c r="AK9" i="18"/>
  <c r="AJ9" i="18"/>
  <c r="AI9" i="18"/>
  <c r="AH9" i="18"/>
  <c r="AG9" i="18"/>
  <c r="AL8" i="18"/>
  <c r="AK8" i="18"/>
  <c r="AJ8" i="18"/>
  <c r="AI8" i="18"/>
  <c r="AH8" i="18"/>
  <c r="AG8" i="18"/>
  <c r="AL7" i="18"/>
  <c r="AK7" i="18"/>
  <c r="AJ7" i="18"/>
  <c r="AI7" i="18"/>
  <c r="AH7" i="18"/>
  <c r="AG7" i="18"/>
  <c r="AL6" i="18"/>
  <c r="AK6" i="18"/>
  <c r="AJ6" i="18"/>
  <c r="AI6" i="18"/>
  <c r="AH6" i="18"/>
  <c r="AG6" i="18"/>
  <c r="AL5" i="18"/>
  <c r="AK5" i="18"/>
  <c r="AJ5" i="18"/>
  <c r="AI5" i="18"/>
  <c r="AH5" i="18"/>
  <c r="AG5" i="18"/>
  <c r="AA6" i="18"/>
  <c r="J6" i="18"/>
  <c r="AN6" i="18"/>
  <c r="AA5" i="18"/>
  <c r="J5" i="18"/>
  <c r="AN5" i="18"/>
  <c r="AA4" i="18"/>
  <c r="AN4" i="18"/>
  <c r="J4" i="18"/>
  <c r="Z6" i="18"/>
  <c r="AM6" i="18"/>
  <c r="Z5" i="18"/>
  <c r="AM5" i="18"/>
  <c r="Z4" i="18"/>
  <c r="AM4" i="18"/>
  <c r="I6" i="18"/>
  <c r="I5" i="18"/>
  <c r="I4" i="18"/>
  <c r="AL4" i="18"/>
  <c r="AK4" i="18"/>
  <c r="AJ4" i="18"/>
  <c r="AI4" i="18"/>
  <c r="AH4" i="18"/>
  <c r="AG4" i="18"/>
  <c r="AF4" i="18"/>
  <c r="U137" i="1"/>
  <c r="U126" i="1"/>
  <c r="U120" i="1"/>
  <c r="U118" i="1"/>
  <c r="U115" i="1"/>
  <c r="U114" i="1"/>
  <c r="U113" i="1"/>
  <c r="U111" i="1"/>
  <c r="U110" i="1"/>
  <c r="U108" i="1"/>
  <c r="U107" i="1"/>
  <c r="U106" i="1"/>
  <c r="U103" i="1"/>
  <c r="U102" i="1"/>
  <c r="U101" i="1"/>
  <c r="U100" i="1"/>
  <c r="U97" i="1"/>
  <c r="U96" i="1"/>
  <c r="U93" i="1"/>
  <c r="U92" i="1"/>
  <c r="U91" i="1"/>
  <c r="U90" i="1"/>
  <c r="U89" i="1"/>
  <c r="U85" i="1"/>
  <c r="U84" i="1"/>
  <c r="U83" i="1"/>
  <c r="U81" i="1"/>
  <c r="U80" i="1"/>
  <c r="U79" i="1"/>
  <c r="U78" i="1"/>
  <c r="U77" i="1"/>
  <c r="U76" i="1"/>
  <c r="U75" i="1"/>
  <c r="U74" i="1"/>
  <c r="U73" i="1"/>
  <c r="U72" i="1"/>
  <c r="U71" i="1"/>
  <c r="U70" i="1"/>
  <c r="U69" i="1"/>
  <c r="U68" i="1"/>
  <c r="U67" i="1"/>
  <c r="U66" i="1"/>
  <c r="U65" i="1"/>
  <c r="U64" i="1"/>
  <c r="U63" i="1"/>
  <c r="U62" i="1"/>
  <c r="U61" i="1"/>
  <c r="U60" i="1"/>
  <c r="U57" i="1"/>
  <c r="U56" i="1"/>
  <c r="U54" i="1"/>
  <c r="U53" i="1"/>
  <c r="U52" i="1"/>
  <c r="U51" i="1"/>
  <c r="U50" i="1"/>
  <c r="U49" i="1"/>
  <c r="U48" i="1"/>
  <c r="U45" i="1"/>
  <c r="U44" i="1"/>
  <c r="U42" i="1"/>
  <c r="U41" i="1"/>
  <c r="U40" i="1"/>
  <c r="U39" i="1"/>
  <c r="U38" i="1"/>
  <c r="U37" i="1"/>
  <c r="U36" i="1"/>
  <c r="U35" i="1"/>
  <c r="U34" i="1"/>
  <c r="U32" i="1"/>
  <c r="U31" i="1"/>
  <c r="U25" i="1"/>
  <c r="U24" i="1"/>
  <c r="U23" i="1"/>
  <c r="U22" i="1"/>
  <c r="U21" i="1"/>
  <c r="U20" i="1"/>
  <c r="U19" i="1"/>
  <c r="U17" i="1"/>
  <c r="U16" i="1"/>
  <c r="U14" i="1"/>
  <c r="U13" i="1"/>
  <c r="U12" i="1"/>
  <c r="U11" i="1"/>
  <c r="U10" i="1"/>
  <c r="U9" i="1"/>
  <c r="U8" i="1"/>
  <c r="U7" i="1"/>
  <c r="U6" i="1"/>
  <c r="U5" i="1"/>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2" i="3"/>
  <c r="H2" i="4"/>
  <c r="B2" i="4"/>
  <c r="A2" i="4"/>
  <c r="G2" i="4"/>
  <c r="H3" i="4"/>
  <c r="B3" i="4"/>
  <c r="A3" i="4"/>
  <c r="G3" i="4"/>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B4" i="4"/>
  <c r="A4" i="4"/>
  <c r="G4" i="4"/>
  <c r="B5" i="4"/>
  <c r="A5" i="4"/>
  <c r="G5" i="4"/>
  <c r="B6" i="4"/>
  <c r="A6" i="4"/>
  <c r="G6" i="4"/>
  <c r="B7" i="4"/>
  <c r="A7" i="4"/>
  <c r="G7" i="4"/>
  <c r="B8" i="4"/>
  <c r="A8" i="4"/>
  <c r="G8" i="4"/>
  <c r="B9" i="4"/>
  <c r="A9" i="4"/>
  <c r="G9" i="4"/>
  <c r="B10" i="4"/>
  <c r="A10" i="4"/>
  <c r="G10" i="4"/>
  <c r="B11" i="4"/>
  <c r="A11" i="4"/>
  <c r="G11" i="4"/>
  <c r="B12" i="4"/>
  <c r="A12" i="4"/>
  <c r="G12" i="4"/>
  <c r="B13" i="4"/>
  <c r="A13" i="4"/>
  <c r="G13" i="4"/>
  <c r="B14" i="4"/>
  <c r="A14" i="4"/>
  <c r="G14" i="4"/>
  <c r="B15" i="4"/>
  <c r="A15" i="4"/>
  <c r="G15" i="4"/>
  <c r="B16" i="4"/>
  <c r="A16" i="4"/>
  <c r="G16" i="4"/>
  <c r="B17" i="4"/>
  <c r="A17" i="4"/>
  <c r="G17" i="4"/>
  <c r="B18" i="4"/>
  <c r="A18" i="4"/>
  <c r="G18" i="4"/>
  <c r="B19" i="4"/>
  <c r="A19" i="4"/>
  <c r="G19" i="4"/>
  <c r="B20" i="4"/>
  <c r="A20" i="4"/>
  <c r="G20" i="4"/>
  <c r="B21" i="4"/>
  <c r="A21" i="4"/>
  <c r="G21" i="4"/>
  <c r="B22" i="4"/>
  <c r="A22" i="4"/>
  <c r="G22" i="4"/>
  <c r="B23" i="4"/>
  <c r="A23" i="4"/>
  <c r="G23" i="4"/>
  <c r="B24" i="4"/>
  <c r="A24" i="4"/>
  <c r="G24" i="4"/>
  <c r="B25" i="4"/>
  <c r="A25" i="4"/>
  <c r="G25" i="4"/>
  <c r="B26" i="4"/>
  <c r="A26" i="4"/>
  <c r="G26" i="4"/>
  <c r="B27" i="4"/>
  <c r="A27" i="4"/>
  <c r="G27" i="4"/>
  <c r="B28" i="4"/>
  <c r="A28" i="4"/>
  <c r="G28" i="4"/>
  <c r="B29" i="4"/>
  <c r="A29" i="4"/>
  <c r="G29" i="4"/>
  <c r="B30" i="4"/>
  <c r="A30" i="4"/>
  <c r="G30" i="4"/>
  <c r="B31" i="4"/>
  <c r="A31" i="4"/>
  <c r="G31" i="4"/>
  <c r="B32" i="4"/>
  <c r="A32" i="4"/>
  <c r="G32" i="4"/>
  <c r="B33" i="4"/>
  <c r="A33" i="4"/>
  <c r="G33" i="4"/>
  <c r="B34" i="4"/>
  <c r="A34" i="4"/>
  <c r="G34" i="4"/>
  <c r="B35" i="4"/>
  <c r="A35" i="4"/>
  <c r="G35" i="4"/>
  <c r="B36" i="4"/>
  <c r="A36" i="4"/>
  <c r="G36" i="4"/>
  <c r="B37" i="4"/>
  <c r="A37" i="4"/>
  <c r="G37" i="4"/>
  <c r="B38" i="4"/>
  <c r="A38" i="4"/>
  <c r="G38" i="4"/>
  <c r="B39" i="4"/>
  <c r="A39" i="4"/>
  <c r="G39" i="4"/>
  <c r="B40" i="4"/>
  <c r="A40" i="4"/>
  <c r="G40" i="4"/>
  <c r="B41" i="4"/>
  <c r="A41" i="4"/>
  <c r="G41" i="4"/>
  <c r="B42" i="4"/>
  <c r="A42" i="4"/>
  <c r="G42" i="4"/>
  <c r="B43" i="4"/>
  <c r="A43" i="4"/>
  <c r="G43" i="4"/>
  <c r="B44" i="4"/>
  <c r="A44" i="4"/>
  <c r="G44" i="4"/>
  <c r="B45" i="4"/>
  <c r="A45" i="4"/>
  <c r="G45" i="4"/>
  <c r="B46" i="4"/>
  <c r="A46" i="4"/>
  <c r="G46" i="4"/>
  <c r="B47" i="4"/>
  <c r="A47" i="4"/>
  <c r="G47" i="4"/>
  <c r="B48" i="4"/>
  <c r="A48" i="4"/>
  <c r="G48" i="4"/>
  <c r="B49" i="4"/>
  <c r="A49" i="4"/>
  <c r="G49" i="4"/>
  <c r="B50" i="4"/>
  <c r="A50" i="4"/>
  <c r="G50" i="4"/>
  <c r="B51" i="4"/>
  <c r="A51" i="4"/>
  <c r="G51" i="4"/>
  <c r="B52" i="4"/>
  <c r="A52" i="4"/>
  <c r="G52" i="4"/>
  <c r="B53" i="4"/>
  <c r="A53" i="4"/>
  <c r="G53" i="4"/>
  <c r="B54" i="4"/>
  <c r="A54" i="4"/>
  <c r="G54" i="4"/>
  <c r="B55" i="4"/>
  <c r="A55" i="4"/>
  <c r="G55" i="4"/>
  <c r="B56" i="4"/>
  <c r="A56" i="4"/>
  <c r="G56" i="4"/>
  <c r="B57" i="4"/>
  <c r="A57" i="4"/>
  <c r="G57" i="4"/>
  <c r="B58" i="4"/>
  <c r="A58" i="4"/>
  <c r="G58" i="4"/>
  <c r="B59" i="4"/>
  <c r="A59" i="4"/>
  <c r="G59" i="4"/>
  <c r="B60" i="4"/>
  <c r="A60" i="4"/>
  <c r="G60" i="4"/>
  <c r="B61" i="4"/>
  <c r="A61" i="4"/>
  <c r="G61" i="4"/>
  <c r="B62" i="4"/>
  <c r="A62" i="4"/>
  <c r="G62" i="4"/>
  <c r="B63" i="4"/>
  <c r="A63" i="4"/>
  <c r="G63" i="4"/>
  <c r="B64" i="4"/>
  <c r="A64" i="4"/>
  <c r="G64" i="4"/>
  <c r="B65" i="4"/>
  <c r="A65" i="4"/>
  <c r="G65" i="4"/>
  <c r="B66" i="4"/>
  <c r="A66" i="4"/>
  <c r="G66" i="4"/>
  <c r="B67" i="4"/>
  <c r="A67" i="4"/>
  <c r="G67" i="4"/>
  <c r="B68" i="4"/>
  <c r="A68" i="4"/>
  <c r="G68" i="4"/>
  <c r="B69" i="4"/>
  <c r="A69" i="4"/>
  <c r="G69" i="4"/>
  <c r="B70" i="4"/>
  <c r="A70" i="4"/>
  <c r="G70" i="4"/>
  <c r="B71" i="4"/>
  <c r="A71" i="4"/>
  <c r="G71" i="4"/>
  <c r="B72" i="4"/>
  <c r="A72" i="4"/>
  <c r="G72" i="4"/>
  <c r="B73" i="4"/>
  <c r="A73" i="4"/>
  <c r="G73" i="4"/>
  <c r="B74" i="4"/>
  <c r="A74" i="4"/>
  <c r="G74" i="4"/>
  <c r="B75" i="4"/>
  <c r="A75" i="4"/>
  <c r="G75" i="4"/>
  <c r="B76" i="4"/>
  <c r="A76" i="4"/>
  <c r="G76" i="4"/>
  <c r="B77" i="4"/>
  <c r="A77" i="4"/>
  <c r="G77" i="4"/>
  <c r="B78" i="4"/>
  <c r="A78" i="4"/>
  <c r="G78" i="4"/>
  <c r="B79" i="4"/>
  <c r="A79" i="4"/>
  <c r="G79" i="4"/>
  <c r="B80" i="4"/>
  <c r="A80" i="4"/>
  <c r="G80" i="4"/>
  <c r="B81" i="4"/>
  <c r="A81" i="4"/>
  <c r="G81" i="4"/>
  <c r="B82" i="4"/>
  <c r="A82" i="4"/>
  <c r="G82" i="4"/>
  <c r="B83" i="4"/>
  <c r="A83" i="4"/>
  <c r="G83" i="4"/>
  <c r="B84" i="4"/>
  <c r="A84" i="4"/>
  <c r="G84" i="4"/>
  <c r="B85" i="4"/>
  <c r="A85" i="4"/>
  <c r="G85" i="4"/>
  <c r="B86" i="4"/>
  <c r="A86" i="4"/>
  <c r="G86" i="4"/>
  <c r="B87" i="4"/>
  <c r="A87" i="4"/>
  <c r="G87" i="4"/>
  <c r="B88" i="4"/>
  <c r="A88" i="4"/>
  <c r="G88" i="4"/>
  <c r="B89" i="4"/>
  <c r="A89" i="4"/>
  <c r="G89" i="4"/>
  <c r="B90" i="4"/>
  <c r="A90" i="4"/>
  <c r="G90" i="4"/>
  <c r="B91" i="4"/>
  <c r="A91" i="4"/>
  <c r="G91" i="4"/>
  <c r="B92" i="4"/>
  <c r="A92" i="4"/>
  <c r="G92" i="4"/>
  <c r="B93" i="4"/>
  <c r="A93" i="4"/>
  <c r="G93" i="4"/>
  <c r="B94" i="4"/>
  <c r="A94" i="4"/>
  <c r="G94" i="4"/>
  <c r="B95" i="4"/>
  <c r="A95" i="4"/>
  <c r="G95" i="4"/>
  <c r="B96" i="4"/>
  <c r="A96" i="4"/>
  <c r="G96" i="4"/>
  <c r="B97" i="4"/>
  <c r="A97" i="4"/>
  <c r="G97" i="4"/>
  <c r="B98" i="4"/>
  <c r="A98" i="4"/>
  <c r="G98" i="4"/>
  <c r="B99" i="4"/>
  <c r="A99" i="4"/>
  <c r="G99" i="4"/>
  <c r="B100" i="4"/>
  <c r="A100" i="4"/>
  <c r="G100" i="4"/>
  <c r="B101" i="4"/>
  <c r="A101" i="4"/>
  <c r="G101" i="4"/>
  <c r="B102" i="4"/>
  <c r="A102" i="4"/>
  <c r="G102" i="4"/>
  <c r="B103" i="4"/>
  <c r="A103" i="4"/>
  <c r="G103" i="4"/>
  <c r="B104" i="4"/>
  <c r="A104" i="4"/>
  <c r="G104" i="4"/>
  <c r="B105" i="4"/>
  <c r="A105" i="4"/>
  <c r="G105" i="4"/>
  <c r="B106" i="4"/>
  <c r="A106" i="4"/>
  <c r="G106" i="4"/>
  <c r="B107" i="4"/>
  <c r="A107" i="4"/>
  <c r="G107" i="4"/>
  <c r="B108" i="4"/>
  <c r="A108" i="4"/>
  <c r="G108" i="4"/>
  <c r="B109" i="4"/>
  <c r="A109" i="4"/>
  <c r="G109" i="4"/>
  <c r="B110" i="4"/>
  <c r="A110" i="4"/>
  <c r="G110" i="4"/>
  <c r="B111" i="4"/>
  <c r="A111" i="4"/>
  <c r="G111" i="4"/>
  <c r="B112" i="4"/>
  <c r="A112" i="4"/>
  <c r="G112" i="4"/>
  <c r="B113" i="4"/>
  <c r="A113" i="4"/>
  <c r="G113" i="4"/>
  <c r="B114" i="4"/>
  <c r="A114" i="4"/>
  <c r="G114" i="4"/>
  <c r="B115" i="4"/>
  <c r="A115" i="4"/>
  <c r="G115" i="4"/>
  <c r="B116" i="4"/>
  <c r="A116" i="4"/>
  <c r="G116" i="4"/>
  <c r="B117" i="4"/>
  <c r="A117" i="4"/>
  <c r="G117" i="4"/>
  <c r="B118" i="4"/>
  <c r="A118" i="4"/>
  <c r="G118" i="4"/>
  <c r="B119" i="4"/>
  <c r="A119" i="4"/>
  <c r="G119" i="4"/>
  <c r="B120" i="4"/>
  <c r="A120" i="4"/>
  <c r="G120" i="4"/>
  <c r="B121" i="4"/>
  <c r="A121" i="4"/>
  <c r="G121" i="4"/>
  <c r="B122" i="4"/>
  <c r="A122" i="4"/>
  <c r="G122" i="4"/>
  <c r="G126" i="4"/>
  <c r="G127" i="4"/>
  <c r="G131" i="4"/>
  <c r="G132" i="4"/>
  <c r="G134" i="4"/>
  <c r="G135" i="4"/>
  <c r="G136" i="4"/>
  <c r="G137" i="4"/>
  <c r="G138" i="4"/>
  <c r="G139" i="4"/>
  <c r="G140" i="4"/>
  <c r="G141" i="4"/>
  <c r="G142" i="4"/>
  <c r="G144" i="4"/>
  <c r="G148" i="4"/>
  <c r="G149" i="4"/>
  <c r="G151" i="4"/>
  <c r="G152" i="4"/>
  <c r="G153" i="4"/>
  <c r="G154" i="4"/>
  <c r="G155" i="4"/>
  <c r="G156" i="4"/>
  <c r="G157" i="4"/>
  <c r="G158" i="4"/>
  <c r="G159" i="4"/>
  <c r="G161" i="4"/>
  <c r="G162" i="4"/>
  <c r="G164" i="4"/>
  <c r="G165" i="4"/>
  <c r="G166" i="4"/>
  <c r="G167" i="4"/>
  <c r="G168" i="4"/>
  <c r="G174" i="4"/>
  <c r="G175" i="4"/>
  <c r="G177" i="4"/>
  <c r="G178" i="4"/>
  <c r="G179" i="4"/>
  <c r="G180" i="4"/>
  <c r="G181" i="4"/>
  <c r="G182" i="4"/>
  <c r="G183" i="4"/>
  <c r="G184" i="4"/>
  <c r="G185" i="4"/>
  <c r="G187" i="4"/>
  <c r="G188" i="4"/>
  <c r="G190" i="4"/>
  <c r="G191" i="4"/>
  <c r="G192" i="4"/>
  <c r="G193" i="4"/>
  <c r="G194" i="4"/>
  <c r="G199" i="4"/>
  <c r="G200" i="4"/>
  <c r="G201" i="4"/>
  <c r="G202" i="4"/>
  <c r="G203" i="4"/>
  <c r="G204" i="4"/>
  <c r="G205" i="4"/>
  <c r="G206" i="4"/>
  <c r="G207" i="4"/>
  <c r="G209" i="4"/>
  <c r="G213" i="4"/>
  <c r="G214" i="4"/>
  <c r="G216" i="4"/>
  <c r="G217" i="4"/>
  <c r="G218" i="4"/>
  <c r="G219" i="4"/>
  <c r="G220" i="4"/>
  <c r="G221" i="4"/>
  <c r="G222" i="4"/>
  <c r="G223" i="4"/>
  <c r="G225" i="4"/>
  <c r="G226" i="4"/>
  <c r="G227" i="4"/>
  <c r="G228" i="4"/>
  <c r="G229" i="4"/>
  <c r="G230" i="4"/>
  <c r="G231" i="4"/>
  <c r="G235" i="4"/>
  <c r="G236" i="4"/>
  <c r="G237" i="4"/>
  <c r="G238" i="4"/>
  <c r="G239" i="4"/>
  <c r="G240" i="4"/>
  <c r="G241" i="4"/>
  <c r="G242" i="4"/>
  <c r="G243" i="4"/>
  <c r="G245" i="4"/>
  <c r="G246" i="4"/>
  <c r="G249" i="4"/>
  <c r="G250" i="4"/>
  <c r="G251" i="4"/>
  <c r="G252" i="4"/>
  <c r="G253" i="4"/>
  <c r="G254" i="4"/>
  <c r="G255" i="4"/>
  <c r="G258" i="4"/>
  <c r="G259" i="4"/>
  <c r="G260" i="4"/>
  <c r="G261" i="4"/>
  <c r="G262" i="4"/>
  <c r="G265" i="4"/>
  <c r="G266" i="4"/>
  <c r="G268" i="4"/>
  <c r="G269" i="4"/>
  <c r="G270" i="4"/>
  <c r="G271" i="4"/>
  <c r="G272" i="4"/>
  <c r="G273" i="4"/>
  <c r="G274" i="4"/>
  <c r="G275" i="4"/>
  <c r="G276" i="4"/>
  <c r="G277" i="4"/>
  <c r="G278" i="4"/>
  <c r="G282" i="4"/>
  <c r="G283" i="4"/>
  <c r="G284" i="4"/>
  <c r="G285" i="4"/>
  <c r="G286" i="4"/>
  <c r="G287" i="4"/>
  <c r="G288" i="4"/>
  <c r="G289" i="4"/>
  <c r="G290" i="4"/>
  <c r="G292" i="4"/>
  <c r="G293" i="4"/>
  <c r="G296" i="4"/>
  <c r="G297" i="4"/>
  <c r="G298" i="4"/>
  <c r="G299" i="4"/>
  <c r="G300" i="4"/>
  <c r="G301" i="4"/>
  <c r="G302" i="4"/>
  <c r="G305" i="4"/>
  <c r="G306" i="4"/>
  <c r="G307" i="4"/>
  <c r="G308" i="4"/>
  <c r="G309" i="4"/>
  <c r="G311" i="4"/>
  <c r="G312" i="4"/>
  <c r="G313" i="4"/>
  <c r="G314" i="4"/>
  <c r="G315" i="4"/>
  <c r="G316" i="4"/>
  <c r="G317" i="4"/>
  <c r="G318" i="4"/>
  <c r="G319" i="4"/>
  <c r="G320" i="4"/>
  <c r="G321" i="4"/>
  <c r="G322" i="4"/>
  <c r="G323" i="4"/>
  <c r="G324" i="4"/>
  <c r="G326" i="4"/>
  <c r="G329" i="4"/>
  <c r="G330" i="4"/>
  <c r="G332" i="4"/>
  <c r="G333" i="4"/>
  <c r="G334" i="4"/>
  <c r="G335" i="4"/>
  <c r="G336" i="4"/>
  <c r="G337" i="4"/>
  <c r="G338" i="4"/>
  <c r="G342" i="4"/>
  <c r="G343" i="4"/>
  <c r="G344" i="4"/>
  <c r="G345" i="4"/>
  <c r="G346" i="4"/>
  <c r="G348" i="4"/>
  <c r="G349" i="4"/>
  <c r="G352" i="4"/>
  <c r="G353" i="4"/>
  <c r="G354" i="4"/>
  <c r="G355" i="4"/>
  <c r="G356" i="4"/>
  <c r="G357" i="4"/>
  <c r="G358" i="4"/>
  <c r="G361" i="4"/>
  <c r="G362" i="4"/>
  <c r="G363" i="4"/>
  <c r="G364" i="4"/>
  <c r="G365" i="4"/>
  <c r="G367" i="4"/>
  <c r="G368" i="4"/>
  <c r="G369" i="4"/>
  <c r="G370" i="4"/>
  <c r="G371" i="4"/>
  <c r="G372" i="4"/>
  <c r="G373" i="4"/>
  <c r="G374" i="4"/>
  <c r="G375" i="4"/>
  <c r="G376" i="4"/>
  <c r="G377" i="4"/>
  <c r="G378" i="4"/>
  <c r="G379" i="4"/>
  <c r="G380" i="4"/>
  <c r="G381" i="4"/>
  <c r="G382" i="4"/>
  <c r="G383" i="4"/>
  <c r="G384" i="4"/>
  <c r="G385" i="4"/>
  <c r="G386" i="4"/>
  <c r="G387" i="4"/>
  <c r="G391" i="4"/>
  <c r="G393" i="4"/>
  <c r="G394" i="4"/>
  <c r="G395" i="4"/>
  <c r="G396" i="4"/>
  <c r="G397" i="4"/>
  <c r="G398" i="4"/>
  <c r="G399" i="4"/>
  <c r="G400" i="4"/>
  <c r="G402" i="4"/>
  <c r="G403" i="4"/>
  <c r="G404" i="4"/>
  <c r="G405" i="4"/>
  <c r="G406" i="4"/>
  <c r="G407" i="4"/>
  <c r="G408" i="4"/>
  <c r="G412" i="4"/>
  <c r="G413" i="4"/>
  <c r="G414" i="4"/>
  <c r="G415" i="4"/>
  <c r="G416" i="4"/>
  <c r="G417" i="4"/>
  <c r="G418" i="4"/>
  <c r="G419" i="4"/>
  <c r="G420" i="4"/>
  <c r="G422" i="4"/>
  <c r="G423" i="4"/>
  <c r="G426" i="4"/>
  <c r="G427" i="4"/>
  <c r="G428" i="4"/>
  <c r="G429" i="4"/>
  <c r="G430" i="4"/>
  <c r="G431" i="4"/>
  <c r="G432" i="4"/>
  <c r="G435" i="4"/>
  <c r="G436" i="4"/>
  <c r="G437" i="4"/>
  <c r="G438" i="4"/>
  <c r="G439" i="4"/>
  <c r="G440" i="4"/>
  <c r="G441" i="4"/>
  <c r="G442" i="4"/>
  <c r="G443" i="4"/>
  <c r="G444" i="4"/>
  <c r="G445" i="4"/>
  <c r="G446" i="4"/>
  <c r="G447" i="4"/>
  <c r="G448" i="4"/>
  <c r="G449" i="4"/>
  <c r="G450" i="4"/>
  <c r="G451" i="4"/>
  <c r="G452" i="4"/>
  <c r="G453" i="4"/>
  <c r="G454" i="4"/>
  <c r="G455" i="4"/>
  <c r="G456" i="4"/>
  <c r="G457" i="4"/>
  <c r="G458" i="4"/>
  <c r="G459" i="4"/>
  <c r="G461" i="4"/>
  <c r="G462" i="4"/>
  <c r="G464" i="4"/>
  <c r="G470" i="4"/>
  <c r="G471" i="4"/>
  <c r="G472" i="4"/>
  <c r="G473" i="4"/>
  <c r="G474" i="4"/>
  <c r="G475" i="4"/>
  <c r="G476" i="4"/>
  <c r="G482" i="4"/>
  <c r="G483" i="4"/>
  <c r="G486" i="4"/>
  <c r="G487" i="4"/>
  <c r="G488" i="4"/>
  <c r="G489" i="4"/>
  <c r="G490" i="4"/>
  <c r="G491" i="4"/>
  <c r="G492" i="4"/>
  <c r="G493" i="4"/>
  <c r="G494" i="4"/>
  <c r="G495" i="4"/>
  <c r="G496" i="4"/>
  <c r="G497" i="4"/>
  <c r="G498" i="4"/>
  <c r="G499" i="4"/>
  <c r="G500" i="4"/>
  <c r="G501" i="4"/>
  <c r="G502" i="4"/>
  <c r="G503" i="4"/>
  <c r="G504" i="4"/>
  <c r="G505" i="4"/>
  <c r="G506" i="4"/>
  <c r="G507" i="4"/>
  <c r="G508" i="4"/>
  <c r="G509" i="4"/>
  <c r="G510" i="4"/>
  <c r="G512" i="4"/>
  <c r="G513" i="4"/>
  <c r="G514" i="4"/>
  <c r="G516" i="4"/>
  <c r="G519" i="4"/>
  <c r="G520" i="4"/>
  <c r="G521" i="4"/>
  <c r="G522" i="4"/>
  <c r="G523" i="4"/>
  <c r="G526" i="4"/>
  <c r="G527" i="4"/>
  <c r="G534" i="4"/>
  <c r="G535" i="4"/>
  <c r="G536" i="4"/>
  <c r="G537" i="4"/>
  <c r="G538" i="4"/>
  <c r="G544" i="4"/>
  <c r="G545" i="4"/>
  <c r="G547" i="4"/>
  <c r="G548" i="4"/>
  <c r="G549" i="4"/>
  <c r="G550" i="4"/>
  <c r="G551" i="4"/>
  <c r="G552" i="4"/>
  <c r="G553" i="4"/>
  <c r="G554" i="4"/>
  <c r="G555" i="4"/>
  <c r="G556" i="4"/>
  <c r="G557" i="4"/>
  <c r="G558" i="4"/>
  <c r="G559" i="4"/>
  <c r="G560" i="4"/>
  <c r="G561" i="4"/>
  <c r="G562" i="4"/>
  <c r="G563" i="4"/>
  <c r="G564" i="4"/>
  <c r="G565" i="4"/>
  <c r="G566" i="4"/>
  <c r="G568" i="4"/>
  <c r="G569" i="4"/>
  <c r="G570" i="4"/>
  <c r="G572" i="4"/>
  <c r="G575" i="4"/>
  <c r="G576" i="4"/>
  <c r="G577" i="4"/>
  <c r="G578" i="4"/>
  <c r="G579" i="4"/>
  <c r="G582" i="4"/>
  <c r="G583" i="4"/>
  <c r="G586" i="4"/>
  <c r="G587" i="4"/>
  <c r="G588" i="4"/>
  <c r="G591" i="4"/>
  <c r="G592" i="4"/>
  <c r="G593" i="4"/>
  <c r="G595" i="4"/>
  <c r="G599" i="4"/>
  <c r="G600" i="4"/>
  <c r="G601" i="4"/>
  <c r="G602" i="4"/>
  <c r="G607" i="4"/>
  <c r="G608" i="4"/>
  <c r="G610" i="4"/>
  <c r="G611" i="4"/>
  <c r="G612" i="4"/>
  <c r="G613" i="4"/>
  <c r="G614" i="4"/>
  <c r="G615" i="4"/>
  <c r="G616" i="4"/>
  <c r="G617" i="4"/>
  <c r="G618" i="4"/>
  <c r="G619" i="4"/>
  <c r="G620" i="4"/>
  <c r="G621" i="4"/>
  <c r="G622" i="4"/>
  <c r="G623" i="4"/>
  <c r="G624" i="4"/>
  <c r="G625" i="4"/>
  <c r="G627" i="4"/>
  <c r="G628" i="4"/>
  <c r="G629" i="4"/>
  <c r="G633" i="4"/>
  <c r="G634" i="4"/>
  <c r="G635" i="4"/>
  <c r="G636" i="4"/>
  <c r="G637" i="4"/>
  <c r="G640" i="4"/>
  <c r="G641" i="4"/>
  <c r="G644" i="4"/>
  <c r="G645" i="4"/>
  <c r="G646" i="4"/>
  <c r="G647" i="4"/>
  <c r="G650" i="4"/>
  <c r="G651" i="4"/>
  <c r="G652" i="4"/>
  <c r="G654" i="4"/>
  <c r="G655" i="4"/>
  <c r="G657" i="4"/>
  <c r="G658" i="4"/>
  <c r="G659" i="4"/>
  <c r="G662" i="4"/>
  <c r="G666" i="4"/>
  <c r="G667" i="4"/>
  <c r="G668" i="4"/>
  <c r="G669" i="4"/>
  <c r="G670" i="4"/>
  <c r="G671" i="4"/>
  <c r="G672" i="4"/>
  <c r="G673" i="4"/>
  <c r="G677" i="4"/>
  <c r="G679" i="4"/>
  <c r="G680" i="4"/>
  <c r="G681" i="4"/>
  <c r="G682" i="4"/>
  <c r="G683" i="4"/>
  <c r="G684" i="4"/>
  <c r="G685" i="4"/>
  <c r="G686" i="4"/>
  <c r="G687" i="4"/>
  <c r="G688" i="4"/>
  <c r="G690" i="4"/>
  <c r="G694" i="4"/>
  <c r="G695" i="4"/>
  <c r="G696" i="4"/>
  <c r="G697" i="4"/>
  <c r="G698" i="4"/>
  <c r="G701" i="4"/>
  <c r="G702" i="4"/>
  <c r="G705" i="4"/>
  <c r="G706" i="4"/>
  <c r="G707" i="4"/>
  <c r="G708" i="4"/>
  <c r="G711" i="4"/>
  <c r="G712" i="4"/>
  <c r="G713" i="4"/>
  <c r="G715" i="4"/>
  <c r="G716" i="4"/>
  <c r="G718" i="4"/>
  <c r="G719" i="4"/>
  <c r="G720" i="4"/>
  <c r="G723" i="4"/>
  <c r="G725" i="4"/>
  <c r="G732" i="4"/>
  <c r="G734" i="4"/>
  <c r="G735" i="4"/>
  <c r="G736" i="4"/>
  <c r="G737" i="4"/>
  <c r="G738" i="4"/>
  <c r="G739" i="4"/>
  <c r="G740" i="4"/>
  <c r="G741" i="4"/>
  <c r="G743" i="4"/>
  <c r="G744" i="4"/>
  <c r="G745" i="4"/>
  <c r="G746" i="4"/>
  <c r="G747" i="4"/>
  <c r="G751" i="4"/>
  <c r="G752" i="4"/>
  <c r="G753" i="4"/>
  <c r="G754" i="4"/>
  <c r="G755" i="4"/>
  <c r="G756" i="4"/>
  <c r="G757" i="4"/>
  <c r="G758" i="4"/>
  <c r="G760" i="4"/>
  <c r="G761" i="4"/>
  <c r="G764" i="4"/>
  <c r="G765" i="4"/>
  <c r="G766" i="4"/>
  <c r="G767" i="4"/>
  <c r="G768" i="4"/>
  <c r="G770" i="4"/>
  <c r="G771" i="4"/>
  <c r="G772" i="4"/>
  <c r="G773" i="4"/>
  <c r="G774" i="4"/>
  <c r="G775" i="4"/>
  <c r="G776" i="4"/>
  <c r="G777" i="4"/>
  <c r="G778" i="4"/>
  <c r="G779" i="4"/>
  <c r="G780" i="4"/>
  <c r="G781" i="4"/>
  <c r="G782" i="4"/>
  <c r="G783" i="4"/>
  <c r="G784" i="4"/>
  <c r="G785" i="4"/>
  <c r="G786" i="4"/>
  <c r="G787" i="4"/>
  <c r="G789" i="4"/>
  <c r="G790" i="4"/>
  <c r="G791" i="4"/>
  <c r="G795" i="4"/>
  <c r="G796" i="4"/>
  <c r="G797" i="4"/>
  <c r="G798" i="4"/>
  <c r="G799" i="4"/>
  <c r="G802" i="4"/>
  <c r="G803" i="4"/>
  <c r="G806" i="4"/>
  <c r="G807" i="4"/>
  <c r="G808" i="4"/>
  <c r="G811" i="4"/>
  <c r="G812" i="4"/>
  <c r="G813" i="4"/>
  <c r="G815" i="4"/>
  <c r="G816" i="4"/>
  <c r="G818" i="4"/>
  <c r="G819" i="4"/>
  <c r="G820" i="4"/>
  <c r="G823" i="4"/>
  <c r="G825" i="4"/>
  <c r="G831" i="4"/>
  <c r="G842" i="4"/>
  <c r="G844" i="4"/>
  <c r="G845" i="4"/>
  <c r="G846" i="4"/>
  <c r="G847" i="4"/>
  <c r="G848" i="4"/>
  <c r="G849" i="4"/>
  <c r="G850" i="4"/>
  <c r="G851" i="4"/>
  <c r="G853" i="4"/>
  <c r="G854" i="4"/>
  <c r="G855" i="4"/>
  <c r="G856" i="4"/>
  <c r="G857" i="4"/>
  <c r="G861" i="4"/>
  <c r="G862" i="4"/>
  <c r="G863" i="4"/>
  <c r="G864" i="4"/>
  <c r="G865" i="4"/>
  <c r="G866" i="4"/>
  <c r="G867" i="4"/>
  <c r="G868" i="4"/>
  <c r="G870" i="4"/>
  <c r="G871" i="4"/>
  <c r="G874" i="4"/>
  <c r="G875" i="4"/>
  <c r="G876" i="4"/>
  <c r="G877" i="4"/>
  <c r="G878" i="4"/>
  <c r="G880" i="4"/>
  <c r="G881" i="4"/>
  <c r="G882" i="4"/>
  <c r="G883" i="4"/>
  <c r="G884" i="4"/>
  <c r="G885" i="4"/>
  <c r="G886" i="4"/>
  <c r="G887" i="4"/>
  <c r="G888" i="4"/>
  <c r="G889" i="4"/>
  <c r="G890" i="4"/>
  <c r="G891" i="4"/>
  <c r="G892" i="4"/>
  <c r="G893" i="4"/>
  <c r="G894" i="4"/>
  <c r="G895" i="4"/>
  <c r="G896" i="4"/>
  <c r="G898" i="4"/>
  <c r="G899" i="4"/>
  <c r="G900" i="4"/>
  <c r="G904" i="4"/>
  <c r="G905" i="4"/>
  <c r="G906" i="4"/>
  <c r="G907" i="4"/>
  <c r="G908" i="4"/>
  <c r="G911" i="4"/>
  <c r="G912" i="4"/>
  <c r="G915" i="4"/>
  <c r="G916" i="4"/>
  <c r="G917" i="4"/>
  <c r="G920" i="4"/>
  <c r="G921" i="4"/>
  <c r="G922" i="4"/>
  <c r="G924" i="4"/>
  <c r="G925" i="4"/>
  <c r="G927" i="4"/>
  <c r="G928" i="4"/>
  <c r="G931" i="4"/>
  <c r="G933" i="4"/>
  <c r="G939" i="4"/>
  <c r="G952" i="4"/>
  <c r="G954" i="4"/>
  <c r="G955" i="4"/>
  <c r="G956" i="4"/>
  <c r="G957" i="4"/>
  <c r="G958" i="4"/>
  <c r="G959" i="4"/>
  <c r="G960" i="4"/>
  <c r="G961" i="4"/>
  <c r="G963" i="4"/>
  <c r="G964" i="4"/>
  <c r="G965" i="4"/>
  <c r="G966" i="4"/>
  <c r="G967" i="4"/>
  <c r="G971" i="4"/>
  <c r="G972" i="4"/>
  <c r="G973" i="4"/>
  <c r="G974" i="4"/>
  <c r="G975" i="4"/>
  <c r="G976" i="4"/>
  <c r="G977" i="4"/>
  <c r="G978" i="4"/>
  <c r="G980" i="4"/>
  <c r="G981" i="4"/>
  <c r="G984" i="4"/>
  <c r="G985" i="4"/>
  <c r="G986" i="4"/>
  <c r="G987" i="4"/>
  <c r="G988" i="4"/>
  <c r="G990" i="4"/>
  <c r="G991" i="4"/>
  <c r="G992" i="4"/>
  <c r="G993" i="4"/>
  <c r="G994" i="4"/>
  <c r="G995" i="4"/>
  <c r="G996" i="4"/>
  <c r="G997" i="4"/>
  <c r="G998" i="4"/>
  <c r="G999" i="4"/>
  <c r="G1000" i="4"/>
  <c r="G1001" i="4"/>
  <c r="G1002" i="4"/>
  <c r="G1003" i="4"/>
  <c r="G1004" i="4"/>
  <c r="G1005" i="4"/>
  <c r="G1006" i="4"/>
  <c r="G1008" i="4"/>
  <c r="G1009" i="4"/>
  <c r="G1010" i="4"/>
  <c r="G1014" i="4"/>
  <c r="G1015" i="4"/>
  <c r="G1016" i="4"/>
  <c r="G1017" i="4"/>
  <c r="G1018" i="4"/>
  <c r="G1021" i="4"/>
  <c r="G1022" i="4"/>
  <c r="G1025" i="4"/>
  <c r="G1026" i="4"/>
  <c r="G1027" i="4"/>
  <c r="G1030" i="4"/>
  <c r="G1031" i="4"/>
  <c r="G1032" i="4"/>
  <c r="G1034" i="4"/>
  <c r="G1036" i="4"/>
  <c r="G1037" i="4"/>
  <c r="G1039" i="4"/>
  <c r="G1046" i="4"/>
  <c r="G1057" i="4"/>
  <c r="G1065" i="4"/>
  <c r="G1067" i="4"/>
  <c r="G1068" i="4"/>
  <c r="G1069" i="4"/>
  <c r="G1070" i="4"/>
  <c r="G1071" i="4"/>
  <c r="G1072" i="4"/>
  <c r="G1073" i="4"/>
  <c r="G1074" i="4"/>
  <c r="G1076" i="4"/>
  <c r="G1077" i="4"/>
  <c r="G1078" i="4"/>
  <c r="G1079" i="4"/>
  <c r="G1080" i="4"/>
  <c r="G1084" i="4"/>
  <c r="G1085" i="4"/>
  <c r="G1086" i="4"/>
  <c r="G1087" i="4"/>
  <c r="G1088" i="4"/>
  <c r="G1089" i="4"/>
  <c r="G1090" i="4"/>
  <c r="G1091" i="4"/>
  <c r="G1093" i="4"/>
  <c r="G1094" i="4"/>
  <c r="G1097" i="4"/>
  <c r="G1098" i="4"/>
  <c r="G1099" i="4"/>
  <c r="G1100" i="4"/>
  <c r="G1101" i="4"/>
  <c r="G1103" i="4"/>
  <c r="G1104" i="4"/>
  <c r="G1105" i="4"/>
  <c r="G1106" i="4"/>
  <c r="G1107" i="4"/>
  <c r="G1108" i="4"/>
  <c r="G1109" i="4"/>
  <c r="G1110" i="4"/>
  <c r="G1111" i="4"/>
  <c r="G1112" i="4"/>
  <c r="G1113" i="4"/>
  <c r="G1114" i="4"/>
  <c r="G1115" i="4"/>
  <c r="G1116" i="4"/>
  <c r="G1117" i="4"/>
  <c r="G1118" i="4"/>
  <c r="G1119" i="4"/>
  <c r="G1121" i="4"/>
  <c r="G1122" i="4"/>
  <c r="G1123" i="4"/>
  <c r="G1127" i="4"/>
  <c r="G1128" i="4"/>
  <c r="G1129" i="4"/>
  <c r="G1130" i="4"/>
  <c r="G1131" i="4"/>
  <c r="G1134" i="4"/>
  <c r="G1135" i="4"/>
  <c r="G1138" i="4"/>
  <c r="G1139" i="4"/>
  <c r="G1140" i="4"/>
  <c r="G1143" i="4"/>
  <c r="G1144" i="4"/>
  <c r="G1145" i="4"/>
  <c r="G1147" i="4"/>
  <c r="G1149" i="4"/>
  <c r="G1150" i="4"/>
  <c r="G1152" i="4"/>
  <c r="G1159" i="4"/>
  <c r="G1170" i="4"/>
  <c r="G1184" i="4"/>
  <c r="G1186" i="4"/>
  <c r="G1187" i="4"/>
  <c r="G1188" i="4"/>
  <c r="G1189" i="4"/>
  <c r="G1190" i="4"/>
  <c r="G1191" i="4"/>
  <c r="G1192" i="4"/>
  <c r="G1193" i="4"/>
  <c r="G1195" i="4"/>
  <c r="G1196" i="4"/>
  <c r="G1197" i="4"/>
  <c r="G1198" i="4"/>
  <c r="G1199" i="4"/>
  <c r="G1203" i="4"/>
  <c r="G1204" i="4"/>
  <c r="G1205" i="4"/>
  <c r="G1206" i="4"/>
  <c r="G1207" i="4"/>
  <c r="G1208" i="4"/>
  <c r="G1209" i="4"/>
  <c r="G1210" i="4"/>
  <c r="G1212" i="4"/>
  <c r="G1213" i="4"/>
  <c r="G1216" i="4"/>
  <c r="G1217" i="4"/>
  <c r="G1218" i="4"/>
  <c r="G1219" i="4"/>
  <c r="G1220" i="4"/>
  <c r="G1222" i="4"/>
  <c r="G1223" i="4"/>
  <c r="G1224" i="4"/>
  <c r="G1225" i="4"/>
  <c r="G1226" i="4"/>
  <c r="G1227" i="4"/>
  <c r="G1228" i="4"/>
  <c r="G1229" i="4"/>
  <c r="G1230" i="4"/>
  <c r="G1231" i="4"/>
  <c r="G1232" i="4"/>
  <c r="G1233" i="4"/>
  <c r="G1234" i="4"/>
  <c r="G1235" i="4"/>
  <c r="G1236" i="4"/>
  <c r="G1237" i="4"/>
  <c r="G1238" i="4"/>
  <c r="G1240" i="4"/>
  <c r="G1241" i="4"/>
  <c r="G1242" i="4"/>
  <c r="G1246" i="4"/>
  <c r="G1247" i="4"/>
  <c r="G1248" i="4"/>
  <c r="G1249" i="4"/>
  <c r="G1250" i="4"/>
  <c r="G1253" i="4"/>
  <c r="G1254" i="4"/>
  <c r="G1257" i="4"/>
  <c r="G1258" i="4"/>
  <c r="G1259" i="4"/>
  <c r="G1262" i="4"/>
  <c r="G1263" i="4"/>
  <c r="G1264" i="4"/>
  <c r="G1266" i="4"/>
  <c r="G1268" i="4"/>
  <c r="G1269" i="4"/>
  <c r="G1272" i="4"/>
  <c r="G1279" i="4"/>
  <c r="G1290" i="4"/>
  <c r="G1303" i="4"/>
  <c r="G1305" i="4"/>
  <c r="G1306" i="4"/>
  <c r="G1307" i="4"/>
  <c r="G1308" i="4"/>
  <c r="G1309" i="4"/>
  <c r="G1310" i="4"/>
  <c r="G1311" i="4"/>
  <c r="G1312" i="4"/>
  <c r="G1314" i="4"/>
  <c r="G1315" i="4"/>
  <c r="G1316" i="4"/>
  <c r="G1318" i="4"/>
  <c r="G1319" i="4"/>
  <c r="G1321" i="4"/>
  <c r="G1328" i="4"/>
  <c r="G1331" i="4"/>
  <c r="G1333" i="4"/>
  <c r="G1335" i="4"/>
  <c r="G1344" i="4"/>
  <c r="G1355" i="4"/>
  <c r="C123" i="4"/>
  <c r="O4" i="1"/>
  <c r="D123" i="4"/>
  <c r="C124" i="4"/>
  <c r="O3" i="1"/>
  <c r="D124" i="4"/>
  <c r="R124" i="4"/>
  <c r="C125" i="4"/>
  <c r="O29" i="1"/>
  <c r="D125" i="4"/>
  <c r="C126" i="4"/>
  <c r="G96" i="12"/>
  <c r="O5" i="1"/>
  <c r="D126" i="4"/>
  <c r="C127" i="4"/>
  <c r="G69" i="12"/>
  <c r="O6" i="1"/>
  <c r="D127" i="4"/>
  <c r="C128" i="4"/>
  <c r="D128" i="4"/>
  <c r="C129" i="4"/>
  <c r="D129" i="4"/>
  <c r="C130" i="4"/>
  <c r="D130" i="4"/>
  <c r="C131" i="4"/>
  <c r="D131" i="4"/>
  <c r="C132" i="4"/>
  <c r="D132" i="4"/>
  <c r="C133" i="4"/>
  <c r="D133" i="4"/>
  <c r="C134" i="4"/>
  <c r="O8" i="1"/>
  <c r="D134" i="4"/>
  <c r="C135" i="4"/>
  <c r="O9" i="1"/>
  <c r="D135" i="4"/>
  <c r="C136" i="4"/>
  <c r="O7" i="1"/>
  <c r="D136" i="4"/>
  <c r="C137" i="4"/>
  <c r="G11" i="12"/>
  <c r="O12" i="1"/>
  <c r="D137" i="4"/>
  <c r="C138" i="4"/>
  <c r="G10" i="12"/>
  <c r="O10" i="1"/>
  <c r="D138" i="4"/>
  <c r="C139" i="4"/>
  <c r="G46" i="12"/>
  <c r="O11" i="1"/>
  <c r="D139" i="4"/>
  <c r="C140" i="4"/>
  <c r="G30" i="12"/>
  <c r="O14" i="1"/>
  <c r="D140" i="4"/>
  <c r="C141" i="4"/>
  <c r="G70" i="12"/>
  <c r="O13" i="1"/>
  <c r="D141" i="4"/>
  <c r="C142" i="4"/>
  <c r="O16" i="1"/>
  <c r="D142" i="4"/>
  <c r="C143" i="4"/>
  <c r="G71" i="12"/>
  <c r="O18" i="1"/>
  <c r="D143" i="4"/>
  <c r="C144" i="4"/>
  <c r="O17" i="1"/>
  <c r="D144" i="4"/>
  <c r="C145" i="4"/>
  <c r="D145" i="4"/>
  <c r="C146" i="4"/>
  <c r="D146" i="4"/>
  <c r="C147" i="4"/>
  <c r="D147" i="4"/>
  <c r="C148" i="4"/>
  <c r="D148" i="4"/>
  <c r="C149" i="4"/>
  <c r="D149" i="4"/>
  <c r="C150" i="4"/>
  <c r="D150" i="4"/>
  <c r="C151" i="4"/>
  <c r="D151" i="4"/>
  <c r="C152" i="4"/>
  <c r="D152" i="4"/>
  <c r="C153" i="4"/>
  <c r="D153" i="4"/>
  <c r="C154" i="4"/>
  <c r="D154" i="4"/>
  <c r="C155" i="4"/>
  <c r="D155" i="4"/>
  <c r="C156" i="4"/>
  <c r="D156" i="4"/>
  <c r="C157" i="4"/>
  <c r="D157" i="4"/>
  <c r="C158" i="4"/>
  <c r="D158" i="4"/>
  <c r="C159" i="4"/>
  <c r="D159" i="4"/>
  <c r="C160" i="4"/>
  <c r="D160" i="4"/>
  <c r="C161" i="4"/>
  <c r="D161" i="4"/>
  <c r="C162" i="4"/>
  <c r="G79" i="12"/>
  <c r="O20" i="1"/>
  <c r="D162" i="4"/>
  <c r="C163" i="4"/>
  <c r="O28" i="1"/>
  <c r="D163" i="4"/>
  <c r="C164" i="4"/>
  <c r="G4" i="12"/>
  <c r="O21" i="1"/>
  <c r="D164" i="4"/>
  <c r="C165" i="4"/>
  <c r="G5" i="12"/>
  <c r="O22" i="1"/>
  <c r="D165" i="4"/>
  <c r="C166" i="4"/>
  <c r="G83" i="12"/>
  <c r="O23" i="1"/>
  <c r="D166" i="4"/>
  <c r="C167" i="4"/>
  <c r="G3" i="12"/>
  <c r="O19" i="1"/>
  <c r="D167" i="4"/>
  <c r="C168" i="4"/>
  <c r="G97" i="12"/>
  <c r="O25" i="1"/>
  <c r="D168" i="4"/>
  <c r="C169" i="4"/>
  <c r="O26" i="1"/>
  <c r="D169" i="4"/>
  <c r="C170" i="4"/>
  <c r="O27" i="1"/>
  <c r="D170" i="4"/>
  <c r="C171" i="4"/>
  <c r="D171" i="4"/>
  <c r="C172" i="4"/>
  <c r="D172" i="4"/>
  <c r="C173" i="4"/>
  <c r="D173" i="4"/>
  <c r="C174" i="4"/>
  <c r="D174" i="4"/>
  <c r="C175" i="4"/>
  <c r="D175" i="4"/>
  <c r="C176" i="4"/>
  <c r="D176" i="4"/>
  <c r="C177" i="4"/>
  <c r="D177" i="4"/>
  <c r="C178" i="4"/>
  <c r="D178" i="4"/>
  <c r="C179" i="4"/>
  <c r="D179" i="4"/>
  <c r="C180" i="4"/>
  <c r="D180" i="4"/>
  <c r="C181" i="4"/>
  <c r="D181" i="4"/>
  <c r="C182" i="4"/>
  <c r="D182" i="4"/>
  <c r="C183" i="4"/>
  <c r="D183" i="4"/>
  <c r="C184" i="4"/>
  <c r="D184" i="4"/>
  <c r="C185" i="4"/>
  <c r="D185" i="4"/>
  <c r="C186" i="4"/>
  <c r="D186" i="4"/>
  <c r="C187" i="4"/>
  <c r="D187" i="4"/>
  <c r="C188" i="4"/>
  <c r="D188" i="4"/>
  <c r="C189" i="4"/>
  <c r="D189" i="4"/>
  <c r="C190" i="4"/>
  <c r="D190" i="4"/>
  <c r="C191" i="4"/>
  <c r="D191" i="4"/>
  <c r="C192" i="4"/>
  <c r="D192" i="4"/>
  <c r="C193" i="4"/>
  <c r="D193" i="4"/>
  <c r="C194" i="4"/>
  <c r="D194" i="4"/>
  <c r="C195" i="4"/>
  <c r="D195" i="4"/>
  <c r="C196" i="4"/>
  <c r="D196" i="4"/>
  <c r="C197" i="4"/>
  <c r="O30" i="1"/>
  <c r="D197" i="4"/>
  <c r="C198" i="4"/>
  <c r="O33" i="1"/>
  <c r="D198" i="4"/>
  <c r="C199" i="4"/>
  <c r="G47" i="12"/>
  <c r="O31" i="1"/>
  <c r="D199" i="4"/>
  <c r="C200" i="4"/>
  <c r="G12" i="12"/>
  <c r="O32" i="1"/>
  <c r="D200" i="4"/>
  <c r="C201" i="4"/>
  <c r="G34" i="12"/>
  <c r="O34" i="1"/>
  <c r="D201" i="4"/>
  <c r="C202" i="4"/>
  <c r="G20" i="12"/>
  <c r="O24" i="1"/>
  <c r="D202" i="4"/>
  <c r="C203" i="4"/>
  <c r="G31" i="12"/>
  <c r="O35" i="1"/>
  <c r="D203" i="4"/>
  <c r="C204" i="4"/>
  <c r="G73" i="12"/>
  <c r="O36" i="1"/>
  <c r="D204" i="4"/>
  <c r="C205" i="4"/>
  <c r="G36" i="12"/>
  <c r="O37" i="1"/>
  <c r="D205" i="4"/>
  <c r="C206" i="4"/>
  <c r="G29" i="12"/>
  <c r="O40" i="1"/>
  <c r="D206" i="4"/>
  <c r="C207" i="4"/>
  <c r="G23" i="12"/>
  <c r="O38" i="1"/>
  <c r="D207" i="4"/>
  <c r="C208" i="4"/>
  <c r="O43" i="1"/>
  <c r="N43" i="1"/>
  <c r="D208" i="4"/>
  <c r="C209" i="4"/>
  <c r="G6" i="12"/>
  <c r="O39" i="1"/>
  <c r="D209" i="4"/>
  <c r="C210" i="4"/>
  <c r="D210" i="4"/>
  <c r="C211" i="4"/>
  <c r="D211" i="4"/>
  <c r="C212" i="4"/>
  <c r="D212" i="4"/>
  <c r="C213" i="4"/>
  <c r="D213" i="4"/>
  <c r="C214" i="4"/>
  <c r="D214" i="4"/>
  <c r="C215" i="4"/>
  <c r="D215" i="4"/>
  <c r="C216" i="4"/>
  <c r="D216" i="4"/>
  <c r="C217" i="4"/>
  <c r="D217" i="4"/>
  <c r="C218" i="4"/>
  <c r="D218" i="4"/>
  <c r="C219" i="4"/>
  <c r="D219" i="4"/>
  <c r="C220" i="4"/>
  <c r="D220" i="4"/>
  <c r="C221" i="4"/>
  <c r="D221" i="4"/>
  <c r="C222" i="4"/>
  <c r="D222" i="4"/>
  <c r="C223" i="4"/>
  <c r="D223" i="4"/>
  <c r="C224" i="4"/>
  <c r="D224" i="4"/>
  <c r="C225" i="4"/>
  <c r="D225" i="4"/>
  <c r="C226" i="4"/>
  <c r="D226" i="4"/>
  <c r="C227" i="4"/>
  <c r="D227" i="4"/>
  <c r="C228" i="4"/>
  <c r="D228" i="4"/>
  <c r="C229" i="4"/>
  <c r="D229" i="4"/>
  <c r="C230" i="4"/>
  <c r="D230" i="4"/>
  <c r="C231" i="4"/>
  <c r="D231" i="4"/>
  <c r="C232" i="4"/>
  <c r="D232" i="4"/>
  <c r="C233" i="4"/>
  <c r="D233" i="4"/>
  <c r="C234" i="4"/>
  <c r="D234" i="4"/>
  <c r="C235" i="4"/>
  <c r="D235" i="4"/>
  <c r="C236" i="4"/>
  <c r="D236" i="4"/>
  <c r="C237" i="4"/>
  <c r="D237" i="4"/>
  <c r="C238" i="4"/>
  <c r="D238" i="4"/>
  <c r="C239" i="4"/>
  <c r="D239" i="4"/>
  <c r="C240" i="4"/>
  <c r="D240" i="4"/>
  <c r="C241" i="4"/>
  <c r="D241" i="4"/>
  <c r="C242" i="4"/>
  <c r="D242" i="4"/>
  <c r="C243" i="4"/>
  <c r="D243" i="4"/>
  <c r="C244" i="4"/>
  <c r="D244" i="4"/>
  <c r="C245" i="4"/>
  <c r="D245" i="4"/>
  <c r="C246" i="4"/>
  <c r="G32" i="12"/>
  <c r="O41" i="1"/>
  <c r="D246" i="4"/>
  <c r="C247" i="4"/>
  <c r="O46" i="1"/>
  <c r="N46" i="1"/>
  <c r="D247" i="4"/>
  <c r="C248" i="4"/>
  <c r="O47" i="1"/>
  <c r="N47" i="1"/>
  <c r="D248" i="4"/>
  <c r="C249" i="4"/>
  <c r="G50" i="12"/>
  <c r="O42" i="1"/>
  <c r="D249" i="4"/>
  <c r="C250" i="4"/>
  <c r="G13" i="12"/>
  <c r="O45" i="1"/>
  <c r="D250" i="4"/>
  <c r="C251" i="4"/>
  <c r="G48" i="12"/>
  <c r="O44" i="1"/>
  <c r="D251" i="4"/>
  <c r="C252" i="4"/>
  <c r="G19" i="12"/>
  <c r="O49" i="1"/>
  <c r="D252" i="4"/>
  <c r="C253" i="4"/>
  <c r="G98" i="12"/>
  <c r="O50" i="1"/>
  <c r="D253" i="4"/>
  <c r="C254" i="4"/>
  <c r="G74" i="12"/>
  <c r="O48" i="1"/>
  <c r="D254" i="4"/>
  <c r="C255" i="4"/>
  <c r="O51" i="1"/>
  <c r="N51" i="1"/>
  <c r="D255" i="4"/>
  <c r="C256" i="4"/>
  <c r="O55" i="1"/>
  <c r="D256" i="4"/>
  <c r="C257" i="4"/>
  <c r="G65" i="12"/>
  <c r="O58" i="1"/>
  <c r="D257" i="4"/>
  <c r="C258" i="4"/>
  <c r="G14" i="12"/>
  <c r="O57" i="1"/>
  <c r="D258" i="4"/>
  <c r="C259" i="4"/>
  <c r="G7" i="12"/>
  <c r="O56" i="1"/>
  <c r="D259" i="4"/>
  <c r="C260" i="4"/>
  <c r="G55" i="12"/>
  <c r="O52" i="1"/>
  <c r="D260" i="4"/>
  <c r="C261" i="4"/>
  <c r="G58" i="12"/>
  <c r="O54" i="1"/>
  <c r="D261" i="4"/>
  <c r="C262" i="4"/>
  <c r="G105" i="12"/>
  <c r="O63" i="1"/>
  <c r="D262" i="4"/>
  <c r="C263" i="4"/>
  <c r="D263" i="4"/>
  <c r="C264" i="4"/>
  <c r="D264" i="4"/>
  <c r="C265" i="4"/>
  <c r="D265" i="4"/>
  <c r="C266" i="4"/>
  <c r="D266" i="4"/>
  <c r="C267" i="4"/>
  <c r="D267" i="4"/>
  <c r="C268" i="4"/>
  <c r="D268" i="4"/>
  <c r="C269" i="4"/>
  <c r="D269" i="4"/>
  <c r="C270" i="4"/>
  <c r="D270" i="4"/>
  <c r="C271" i="4"/>
  <c r="D271" i="4"/>
  <c r="C272" i="4"/>
  <c r="D272" i="4"/>
  <c r="C273" i="4"/>
  <c r="D273" i="4"/>
  <c r="C274" i="4"/>
  <c r="D274" i="4"/>
  <c r="C275" i="4"/>
  <c r="D275" i="4"/>
  <c r="C276" i="4"/>
  <c r="D276" i="4"/>
  <c r="C277" i="4"/>
  <c r="D277" i="4"/>
  <c r="C278" i="4"/>
  <c r="D278" i="4"/>
  <c r="C279" i="4"/>
  <c r="D279" i="4"/>
  <c r="C280" i="4"/>
  <c r="D280" i="4"/>
  <c r="C281" i="4"/>
  <c r="D281" i="4"/>
  <c r="C282" i="4"/>
  <c r="D282" i="4"/>
  <c r="C283" i="4"/>
  <c r="D283" i="4"/>
  <c r="C284" i="4"/>
  <c r="D284" i="4"/>
  <c r="C285" i="4"/>
  <c r="D285" i="4"/>
  <c r="C286" i="4"/>
  <c r="D286" i="4"/>
  <c r="C287" i="4"/>
  <c r="D287" i="4"/>
  <c r="C288" i="4"/>
  <c r="D288" i="4"/>
  <c r="C289" i="4"/>
  <c r="D289" i="4"/>
  <c r="C290" i="4"/>
  <c r="D290" i="4"/>
  <c r="C291" i="4"/>
  <c r="D291" i="4"/>
  <c r="C292" i="4"/>
  <c r="D292" i="4"/>
  <c r="C293" i="4"/>
  <c r="D293" i="4"/>
  <c r="C294" i="4"/>
  <c r="D294" i="4"/>
  <c r="C295" i="4"/>
  <c r="D295" i="4"/>
  <c r="C296" i="4"/>
  <c r="D296" i="4"/>
  <c r="C297" i="4"/>
  <c r="D297" i="4"/>
  <c r="C298" i="4"/>
  <c r="D298" i="4"/>
  <c r="C299" i="4"/>
  <c r="D299" i="4"/>
  <c r="C300" i="4"/>
  <c r="D300" i="4"/>
  <c r="C301" i="4"/>
  <c r="D301" i="4"/>
  <c r="C302" i="4"/>
  <c r="D302" i="4"/>
  <c r="C303" i="4"/>
  <c r="D303" i="4"/>
  <c r="C304" i="4"/>
  <c r="D304" i="4"/>
  <c r="C305" i="4"/>
  <c r="D305" i="4"/>
  <c r="C306" i="4"/>
  <c r="D306" i="4"/>
  <c r="C307" i="4"/>
  <c r="D307" i="4"/>
  <c r="C308" i="4"/>
  <c r="G39" i="12"/>
  <c r="O53" i="1"/>
  <c r="D308" i="4"/>
  <c r="C309" i="4"/>
  <c r="D309" i="4"/>
  <c r="C310" i="4"/>
  <c r="G86" i="12"/>
  <c r="O59" i="1"/>
  <c r="D310" i="4"/>
  <c r="C311" i="4"/>
  <c r="G90" i="12"/>
  <c r="O61" i="1"/>
  <c r="D311" i="4"/>
  <c r="C312" i="4"/>
  <c r="G89" i="12"/>
  <c r="O60" i="1"/>
  <c r="D312" i="4"/>
  <c r="C313" i="4"/>
  <c r="G40" i="12"/>
  <c r="O64" i="1"/>
  <c r="D313" i="4"/>
  <c r="C314" i="4"/>
  <c r="O67" i="1"/>
  <c r="D314" i="4"/>
  <c r="C315" i="4"/>
  <c r="G21" i="12"/>
  <c r="O65" i="1"/>
  <c r="D315" i="4"/>
  <c r="C316" i="4"/>
  <c r="G24" i="12"/>
  <c r="O66" i="1"/>
  <c r="D316" i="4"/>
  <c r="C317" i="4"/>
  <c r="G93" i="12"/>
  <c r="O69" i="1"/>
  <c r="D317" i="4"/>
  <c r="C318" i="4"/>
  <c r="G99" i="12"/>
  <c r="O70" i="1"/>
  <c r="D318" i="4"/>
  <c r="C319" i="4"/>
  <c r="G8" i="12"/>
  <c r="O73" i="1"/>
  <c r="D319" i="4"/>
  <c r="C320" i="4"/>
  <c r="G91" i="12"/>
  <c r="O62" i="1"/>
  <c r="D320" i="4"/>
  <c r="C321" i="4"/>
  <c r="G80" i="12"/>
  <c r="O72" i="1"/>
  <c r="D321" i="4"/>
  <c r="C322" i="4"/>
  <c r="G66" i="12"/>
  <c r="O74" i="1"/>
  <c r="D322" i="4"/>
  <c r="C323" i="4"/>
  <c r="G104" i="12"/>
  <c r="O71" i="1"/>
  <c r="D323" i="4"/>
  <c r="C324" i="4"/>
  <c r="D324" i="4"/>
  <c r="C325" i="4"/>
  <c r="O99" i="1"/>
  <c r="D325" i="4"/>
  <c r="C326" i="4"/>
  <c r="G16" i="12"/>
  <c r="O103" i="1"/>
  <c r="D326" i="4"/>
  <c r="C327" i="4"/>
  <c r="D327" i="4"/>
  <c r="C328" i="4"/>
  <c r="D328" i="4"/>
  <c r="C329" i="4"/>
  <c r="D329" i="4"/>
  <c r="C330" i="4"/>
  <c r="D330" i="4"/>
  <c r="C331" i="4"/>
  <c r="D331" i="4"/>
  <c r="C332" i="4"/>
  <c r="D332" i="4"/>
  <c r="C333" i="4"/>
  <c r="D333" i="4"/>
  <c r="C334" i="4"/>
  <c r="D334" i="4"/>
  <c r="C335" i="4"/>
  <c r="D335" i="4"/>
  <c r="R335" i="4"/>
  <c r="C336" i="4"/>
  <c r="D336" i="4"/>
  <c r="C337" i="4"/>
  <c r="D337" i="4"/>
  <c r="C338" i="4"/>
  <c r="D338" i="4"/>
  <c r="C339" i="4"/>
  <c r="D339" i="4"/>
  <c r="C340" i="4"/>
  <c r="D340" i="4"/>
  <c r="C341" i="4"/>
  <c r="D341" i="4"/>
  <c r="C342" i="4"/>
  <c r="D342" i="4"/>
  <c r="C343" i="4"/>
  <c r="D343" i="4"/>
  <c r="C344" i="4"/>
  <c r="D344" i="4"/>
  <c r="C345" i="4"/>
  <c r="D345" i="4"/>
  <c r="C346" i="4"/>
  <c r="D346" i="4"/>
  <c r="C347" i="4"/>
  <c r="D347" i="4"/>
  <c r="C348" i="4"/>
  <c r="D348" i="4"/>
  <c r="C349" i="4"/>
  <c r="D349" i="4"/>
  <c r="C350" i="4"/>
  <c r="D350" i="4"/>
  <c r="C351" i="4"/>
  <c r="D351" i="4"/>
  <c r="C352" i="4"/>
  <c r="D352" i="4"/>
  <c r="C353" i="4"/>
  <c r="D353" i="4"/>
  <c r="C354" i="4"/>
  <c r="D354" i="4"/>
  <c r="C355" i="4"/>
  <c r="D355" i="4"/>
  <c r="C356" i="4"/>
  <c r="D356" i="4"/>
  <c r="C357" i="4"/>
  <c r="D357" i="4"/>
  <c r="C358" i="4"/>
  <c r="D358" i="4"/>
  <c r="C359" i="4"/>
  <c r="D359" i="4"/>
  <c r="C360" i="4"/>
  <c r="D360" i="4"/>
  <c r="C361" i="4"/>
  <c r="D361" i="4"/>
  <c r="C362" i="4"/>
  <c r="D362" i="4"/>
  <c r="C363" i="4"/>
  <c r="D363" i="4"/>
  <c r="C364" i="4"/>
  <c r="D364" i="4"/>
  <c r="C365" i="4"/>
  <c r="D365" i="4"/>
  <c r="C366" i="4"/>
  <c r="D366" i="4"/>
  <c r="C367" i="4"/>
  <c r="D367" i="4"/>
  <c r="C368" i="4"/>
  <c r="D368" i="4"/>
  <c r="C369" i="4"/>
  <c r="D369" i="4"/>
  <c r="C370" i="4"/>
  <c r="D370" i="4"/>
  <c r="C371" i="4"/>
  <c r="G84" i="12"/>
  <c r="O68" i="1"/>
  <c r="D371" i="4"/>
  <c r="C372" i="4"/>
  <c r="D372" i="4"/>
  <c r="C373" i="4"/>
  <c r="D373" i="4"/>
  <c r="C374" i="4"/>
  <c r="D374" i="4"/>
  <c r="C375" i="4"/>
  <c r="D375" i="4"/>
  <c r="C376" i="4"/>
  <c r="D376" i="4"/>
  <c r="C377" i="4"/>
  <c r="D377" i="4"/>
  <c r="C378" i="4"/>
  <c r="D378" i="4"/>
  <c r="C379" i="4"/>
  <c r="D379" i="4"/>
  <c r="C380" i="4"/>
  <c r="D380" i="4"/>
  <c r="C381" i="4"/>
  <c r="G22" i="12"/>
  <c r="O76" i="1"/>
  <c r="D381" i="4"/>
  <c r="C382" i="4"/>
  <c r="G42" i="12"/>
  <c r="O77" i="1"/>
  <c r="D382" i="4"/>
  <c r="C383" i="4"/>
  <c r="G44" i="12"/>
  <c r="O78" i="1"/>
  <c r="D383" i="4"/>
  <c r="C384" i="4"/>
  <c r="G45" i="12"/>
  <c r="O79" i="1"/>
  <c r="D384" i="4"/>
  <c r="C385" i="4"/>
  <c r="G59" i="12"/>
  <c r="O80" i="1"/>
  <c r="D385" i="4"/>
  <c r="C386" i="4"/>
  <c r="G68" i="12"/>
  <c r="O81" i="1"/>
  <c r="D386" i="4"/>
  <c r="C387" i="4"/>
  <c r="D387" i="4"/>
  <c r="C388" i="4"/>
  <c r="D388" i="4"/>
  <c r="C389" i="4"/>
  <c r="D389" i="4"/>
  <c r="C390" i="4"/>
  <c r="D390" i="4"/>
  <c r="C391" i="4"/>
  <c r="D391" i="4"/>
  <c r="C392" i="4"/>
  <c r="D392" i="4"/>
  <c r="C393" i="4"/>
  <c r="D393" i="4"/>
  <c r="C394" i="4"/>
  <c r="D394" i="4"/>
  <c r="C395" i="4"/>
  <c r="D395" i="4"/>
  <c r="C396" i="4"/>
  <c r="D396" i="4"/>
  <c r="C397" i="4"/>
  <c r="D397" i="4"/>
  <c r="C398" i="4"/>
  <c r="D398" i="4"/>
  <c r="C399" i="4"/>
  <c r="D399" i="4"/>
  <c r="C400" i="4"/>
  <c r="D400" i="4"/>
  <c r="C401" i="4"/>
  <c r="D401" i="4"/>
  <c r="C402" i="4"/>
  <c r="D402" i="4"/>
  <c r="C403" i="4"/>
  <c r="D403" i="4"/>
  <c r="C404" i="4"/>
  <c r="D404" i="4"/>
  <c r="C405" i="4"/>
  <c r="D405" i="4"/>
  <c r="C406" i="4"/>
  <c r="D406" i="4"/>
  <c r="C407" i="4"/>
  <c r="D407" i="4"/>
  <c r="C408" i="4"/>
  <c r="D408" i="4"/>
  <c r="C409" i="4"/>
  <c r="D409" i="4"/>
  <c r="C410" i="4"/>
  <c r="D410" i="4"/>
  <c r="C411" i="4"/>
  <c r="D411" i="4"/>
  <c r="C412" i="4"/>
  <c r="D412" i="4"/>
  <c r="C413" i="4"/>
  <c r="D413" i="4"/>
  <c r="C414" i="4"/>
  <c r="D414" i="4"/>
  <c r="C415" i="4"/>
  <c r="D415" i="4"/>
  <c r="C416" i="4"/>
  <c r="D416" i="4"/>
  <c r="C417" i="4"/>
  <c r="D417" i="4"/>
  <c r="C418" i="4"/>
  <c r="D418" i="4"/>
  <c r="C419" i="4"/>
  <c r="D419" i="4"/>
  <c r="C420" i="4"/>
  <c r="D420" i="4"/>
  <c r="C421" i="4"/>
  <c r="D421" i="4"/>
  <c r="C422" i="4"/>
  <c r="D422" i="4"/>
  <c r="C423" i="4"/>
  <c r="D423" i="4"/>
  <c r="C424" i="4"/>
  <c r="D424" i="4"/>
  <c r="C425" i="4"/>
  <c r="D425" i="4"/>
  <c r="C426" i="4"/>
  <c r="D426" i="4"/>
  <c r="C427" i="4"/>
  <c r="D427" i="4"/>
  <c r="C428" i="4"/>
  <c r="D428" i="4"/>
  <c r="C429" i="4"/>
  <c r="D429" i="4"/>
  <c r="C430" i="4"/>
  <c r="D430" i="4"/>
  <c r="C431" i="4"/>
  <c r="D431" i="4"/>
  <c r="C432" i="4"/>
  <c r="D432" i="4"/>
  <c r="C433" i="4"/>
  <c r="D433" i="4"/>
  <c r="C434" i="4"/>
  <c r="D434" i="4"/>
  <c r="C435" i="4"/>
  <c r="D435" i="4"/>
  <c r="C436" i="4"/>
  <c r="D436" i="4"/>
  <c r="C437" i="4"/>
  <c r="D437" i="4"/>
  <c r="C438" i="4"/>
  <c r="D438" i="4"/>
  <c r="C439" i="4"/>
  <c r="D439" i="4"/>
  <c r="C440" i="4"/>
  <c r="D440" i="4"/>
  <c r="C441" i="4"/>
  <c r="D441" i="4"/>
  <c r="C442" i="4"/>
  <c r="D442" i="4"/>
  <c r="C443" i="4"/>
  <c r="D443" i="4"/>
  <c r="C444" i="4"/>
  <c r="D444" i="4"/>
  <c r="C445" i="4"/>
  <c r="D445" i="4"/>
  <c r="C446" i="4"/>
  <c r="D446" i="4"/>
  <c r="C447" i="4"/>
  <c r="D447" i="4"/>
  <c r="C448" i="4"/>
  <c r="D448" i="4"/>
  <c r="C449" i="4"/>
  <c r="D449" i="4"/>
  <c r="C450" i="4"/>
  <c r="D450" i="4"/>
  <c r="C451" i="4"/>
  <c r="D451" i="4"/>
  <c r="C452" i="4"/>
  <c r="D452" i="4"/>
  <c r="C453" i="4"/>
  <c r="G26" i="12"/>
  <c r="O75" i="1"/>
  <c r="D453" i="4"/>
  <c r="C454" i="4"/>
  <c r="D454" i="4"/>
  <c r="C455" i="4"/>
  <c r="D455" i="4"/>
  <c r="C456" i="4"/>
  <c r="D456" i="4"/>
  <c r="C457" i="4"/>
  <c r="D457" i="4"/>
  <c r="C458" i="4"/>
  <c r="D458" i="4"/>
  <c r="C459" i="4"/>
  <c r="D459" i="4"/>
  <c r="C460" i="4"/>
  <c r="O82" i="1"/>
  <c r="D460" i="4"/>
  <c r="C461" i="4"/>
  <c r="G94" i="12"/>
  <c r="O83" i="1"/>
  <c r="D461" i="4"/>
  <c r="C462" i="4"/>
  <c r="G56" i="12"/>
  <c r="O84" i="1"/>
  <c r="D462" i="4"/>
  <c r="C463" i="4"/>
  <c r="G67" i="12"/>
  <c r="O86" i="1"/>
  <c r="D463" i="4"/>
  <c r="C464" i="4"/>
  <c r="D464" i="4"/>
  <c r="C465" i="4"/>
  <c r="O88" i="1"/>
  <c r="D465" i="4"/>
  <c r="C466" i="4"/>
  <c r="D466" i="4"/>
  <c r="C467" i="4"/>
  <c r="D467" i="4"/>
  <c r="C468" i="4"/>
  <c r="D468" i="4"/>
  <c r="C470" i="4"/>
  <c r="D470" i="4"/>
  <c r="C471" i="4"/>
  <c r="D471" i="4"/>
  <c r="C472" i="4"/>
  <c r="D472" i="4"/>
  <c r="C473" i="4"/>
  <c r="D473" i="4"/>
  <c r="C474" i="4"/>
  <c r="D474" i="4"/>
  <c r="C475" i="4"/>
  <c r="D475" i="4"/>
  <c r="C476" i="4"/>
  <c r="D476" i="4"/>
  <c r="C477" i="4"/>
  <c r="D477" i="4"/>
  <c r="C478" i="4"/>
  <c r="D478" i="4"/>
  <c r="C479" i="4"/>
  <c r="D479" i="4"/>
  <c r="C480" i="4"/>
  <c r="D480" i="4"/>
  <c r="C481" i="4"/>
  <c r="D481" i="4"/>
  <c r="C482" i="4"/>
  <c r="D482" i="4"/>
  <c r="C483" i="4"/>
  <c r="D483" i="4"/>
  <c r="C484" i="4"/>
  <c r="D484" i="4"/>
  <c r="C485" i="4"/>
  <c r="D485" i="4"/>
  <c r="C486" i="4"/>
  <c r="D486" i="4"/>
  <c r="C487" i="4"/>
  <c r="D487" i="4"/>
  <c r="C488" i="4"/>
  <c r="D488" i="4"/>
  <c r="C489" i="4"/>
  <c r="D489" i="4"/>
  <c r="C490" i="4"/>
  <c r="D490" i="4"/>
  <c r="C491" i="4"/>
  <c r="D491" i="4"/>
  <c r="C492" i="4"/>
  <c r="D492" i="4"/>
  <c r="C493" i="4"/>
  <c r="D493" i="4"/>
  <c r="C494" i="4"/>
  <c r="D494" i="4"/>
  <c r="C495" i="4"/>
  <c r="D495" i="4"/>
  <c r="C496" i="4"/>
  <c r="D496" i="4"/>
  <c r="C497" i="4"/>
  <c r="D497" i="4"/>
  <c r="C498" i="4"/>
  <c r="D498" i="4"/>
  <c r="C499" i="4"/>
  <c r="D499" i="4"/>
  <c r="C500" i="4"/>
  <c r="D500" i="4"/>
  <c r="C501" i="4"/>
  <c r="D501" i="4"/>
  <c r="C502" i="4"/>
  <c r="D502" i="4"/>
  <c r="C503" i="4"/>
  <c r="D503" i="4"/>
  <c r="C504" i="4"/>
  <c r="D504" i="4"/>
  <c r="C505" i="4"/>
  <c r="D505" i="4"/>
  <c r="C506" i="4"/>
  <c r="D506" i="4"/>
  <c r="C507" i="4"/>
  <c r="D507" i="4"/>
  <c r="C508" i="4"/>
  <c r="D508" i="4"/>
  <c r="C509" i="4"/>
  <c r="D509" i="4"/>
  <c r="C510" i="4"/>
  <c r="D510" i="4"/>
  <c r="C511" i="4"/>
  <c r="D511" i="4"/>
  <c r="C512" i="4"/>
  <c r="D512" i="4"/>
  <c r="C513" i="4"/>
  <c r="D513" i="4"/>
  <c r="C514" i="4"/>
  <c r="G85" i="12"/>
  <c r="O85" i="1"/>
  <c r="D514" i="4"/>
  <c r="C515" i="4"/>
  <c r="D515" i="4"/>
  <c r="C516" i="4"/>
  <c r="D516" i="4"/>
  <c r="C517" i="4"/>
  <c r="O87" i="1"/>
  <c r="D517" i="4"/>
  <c r="C518" i="4"/>
  <c r="D518" i="4"/>
  <c r="C519" i="4"/>
  <c r="G92" i="12"/>
  <c r="O89" i="1"/>
  <c r="D519" i="4"/>
  <c r="C520" i="4"/>
  <c r="G81" i="12"/>
  <c r="O90" i="1"/>
  <c r="D520" i="4"/>
  <c r="C521" i="4"/>
  <c r="G95" i="12"/>
  <c r="O91" i="1"/>
  <c r="D521" i="4"/>
  <c r="C522" i="4"/>
  <c r="G15" i="12"/>
  <c r="O92" i="1"/>
  <c r="D522" i="4"/>
  <c r="C523" i="4"/>
  <c r="G75" i="12"/>
  <c r="O93" i="1"/>
  <c r="D523" i="4"/>
  <c r="C524" i="4"/>
  <c r="O94" i="1"/>
  <c r="D524" i="4"/>
  <c r="C525" i="4"/>
  <c r="O95" i="1"/>
  <c r="D525" i="4"/>
  <c r="C526" i="4"/>
  <c r="G57" i="12"/>
  <c r="O96" i="1"/>
  <c r="D526" i="4"/>
  <c r="C527" i="4"/>
  <c r="G60" i="12"/>
  <c r="O97" i="1"/>
  <c r="D527" i="4"/>
  <c r="C528" i="4"/>
  <c r="O98" i="1"/>
  <c r="D528" i="4"/>
  <c r="C529" i="4"/>
  <c r="D529" i="4"/>
  <c r="C530" i="4"/>
  <c r="D530" i="4"/>
  <c r="C531" i="4"/>
  <c r="D531" i="4"/>
  <c r="C532" i="4"/>
  <c r="D532" i="4"/>
  <c r="C534" i="4"/>
  <c r="D534" i="4"/>
  <c r="C535" i="4"/>
  <c r="D535" i="4"/>
  <c r="C536" i="4"/>
  <c r="D536" i="4"/>
  <c r="C537" i="4"/>
  <c r="D537" i="4"/>
  <c r="C538" i="4"/>
  <c r="D538" i="4"/>
  <c r="C539" i="4"/>
  <c r="D539" i="4"/>
  <c r="C540" i="4"/>
  <c r="D540" i="4"/>
  <c r="C541" i="4"/>
  <c r="D541" i="4"/>
  <c r="C542" i="4"/>
  <c r="D542" i="4"/>
  <c r="C543" i="4"/>
  <c r="D543" i="4"/>
  <c r="C544" i="4"/>
  <c r="D544" i="4"/>
  <c r="C545" i="4"/>
  <c r="D545" i="4"/>
  <c r="C546" i="4"/>
  <c r="D546" i="4"/>
  <c r="C547" i="4"/>
  <c r="D547" i="4"/>
  <c r="C548" i="4"/>
  <c r="D548" i="4"/>
  <c r="C549" i="4"/>
  <c r="D549" i="4"/>
  <c r="C550" i="4"/>
  <c r="D550" i="4"/>
  <c r="C551" i="4"/>
  <c r="D551" i="4"/>
  <c r="C552" i="4"/>
  <c r="D552" i="4"/>
  <c r="C553" i="4"/>
  <c r="D553" i="4"/>
  <c r="C554" i="4"/>
  <c r="D554" i="4"/>
  <c r="C555" i="4"/>
  <c r="D555" i="4"/>
  <c r="C556" i="4"/>
  <c r="D556" i="4"/>
  <c r="C557" i="4"/>
  <c r="D557" i="4"/>
  <c r="C558" i="4"/>
  <c r="D558" i="4"/>
  <c r="C559" i="4"/>
  <c r="D559" i="4"/>
  <c r="C560" i="4"/>
  <c r="D560" i="4"/>
  <c r="C561" i="4"/>
  <c r="D561" i="4"/>
  <c r="C562" i="4"/>
  <c r="D562" i="4"/>
  <c r="C563" i="4"/>
  <c r="D563" i="4"/>
  <c r="C564" i="4"/>
  <c r="D564" i="4"/>
  <c r="C565" i="4"/>
  <c r="D565" i="4"/>
  <c r="C566" i="4"/>
  <c r="D566" i="4"/>
  <c r="C567" i="4"/>
  <c r="D567" i="4"/>
  <c r="C568" i="4"/>
  <c r="D568" i="4"/>
  <c r="C569" i="4"/>
  <c r="D569" i="4"/>
  <c r="C570" i="4"/>
  <c r="D570" i="4"/>
  <c r="C571" i="4"/>
  <c r="D571" i="4"/>
  <c r="C572" i="4"/>
  <c r="D572" i="4"/>
  <c r="C573" i="4"/>
  <c r="D573" i="4"/>
  <c r="C574" i="4"/>
  <c r="D574" i="4"/>
  <c r="C575" i="4"/>
  <c r="D575" i="4"/>
  <c r="C576" i="4"/>
  <c r="D576" i="4"/>
  <c r="C577" i="4"/>
  <c r="D577" i="4"/>
  <c r="C578" i="4"/>
  <c r="D578" i="4"/>
  <c r="C579" i="4"/>
  <c r="D579" i="4"/>
  <c r="C580" i="4"/>
  <c r="D580" i="4"/>
  <c r="C581" i="4"/>
  <c r="D581" i="4"/>
  <c r="C582" i="4"/>
  <c r="D582" i="4"/>
  <c r="C583" i="4"/>
  <c r="D583" i="4"/>
  <c r="C584" i="4"/>
  <c r="D584" i="4"/>
  <c r="C585" i="4"/>
  <c r="D585" i="4"/>
  <c r="C586" i="4"/>
  <c r="G9" i="12"/>
  <c r="O100" i="1"/>
  <c r="D586" i="4"/>
  <c r="C587" i="4"/>
  <c r="O102" i="1"/>
  <c r="D587" i="4"/>
  <c r="C588" i="4"/>
  <c r="D588" i="4"/>
  <c r="C589" i="4"/>
  <c r="O104" i="1"/>
  <c r="D589" i="4"/>
  <c r="C590" i="4"/>
  <c r="O105" i="1"/>
  <c r="D590" i="4"/>
  <c r="C591" i="4"/>
  <c r="G82" i="12"/>
  <c r="O106" i="1"/>
  <c r="D591" i="4"/>
  <c r="C592" i="4"/>
  <c r="G43" i="12"/>
  <c r="O107" i="1"/>
  <c r="D592" i="4"/>
  <c r="C593" i="4"/>
  <c r="G61" i="12"/>
  <c r="O108" i="1"/>
  <c r="D593" i="4"/>
  <c r="C594" i="4"/>
  <c r="O109" i="1"/>
  <c r="D594" i="4"/>
  <c r="C595" i="4"/>
  <c r="O110" i="1"/>
  <c r="D595" i="4"/>
  <c r="C596" i="4"/>
  <c r="O112" i="1"/>
  <c r="D596" i="4"/>
  <c r="C597" i="4"/>
  <c r="D597" i="4"/>
  <c r="C598" i="4"/>
  <c r="D598" i="4"/>
  <c r="C599" i="4"/>
  <c r="D599" i="4"/>
  <c r="C600" i="4"/>
  <c r="D600" i="4"/>
  <c r="C601" i="4"/>
  <c r="D601" i="4"/>
  <c r="C602" i="4"/>
  <c r="D602" i="4"/>
  <c r="C603" i="4"/>
  <c r="D603" i="4"/>
  <c r="C604" i="4"/>
  <c r="D604" i="4"/>
  <c r="C605" i="4"/>
  <c r="D605" i="4"/>
  <c r="C606" i="4"/>
  <c r="D606" i="4"/>
  <c r="C607" i="4"/>
  <c r="D607" i="4"/>
  <c r="C608" i="4"/>
  <c r="D608" i="4"/>
  <c r="C609" i="4"/>
  <c r="D609" i="4"/>
  <c r="C610" i="4"/>
  <c r="D610" i="4"/>
  <c r="C611" i="4"/>
  <c r="D611" i="4"/>
  <c r="C612" i="4"/>
  <c r="D612" i="4"/>
  <c r="C613" i="4"/>
  <c r="D613" i="4"/>
  <c r="C614" i="4"/>
  <c r="D614" i="4"/>
  <c r="C615" i="4"/>
  <c r="D615" i="4"/>
  <c r="C616" i="4"/>
  <c r="D616" i="4"/>
  <c r="C617" i="4"/>
  <c r="D617" i="4"/>
  <c r="C618" i="4"/>
  <c r="D618" i="4"/>
  <c r="C619" i="4"/>
  <c r="D619" i="4"/>
  <c r="C620" i="4"/>
  <c r="D620" i="4"/>
  <c r="C621" i="4"/>
  <c r="D621" i="4"/>
  <c r="C622" i="4"/>
  <c r="D622" i="4"/>
  <c r="C623" i="4"/>
  <c r="D623" i="4"/>
  <c r="C624" i="4"/>
  <c r="D624" i="4"/>
  <c r="C625" i="4"/>
  <c r="D625" i="4"/>
  <c r="C626" i="4"/>
  <c r="D626" i="4"/>
  <c r="C627" i="4"/>
  <c r="D627" i="4"/>
  <c r="C628" i="4"/>
  <c r="D628" i="4"/>
  <c r="C629" i="4"/>
  <c r="D629" i="4"/>
  <c r="C630" i="4"/>
  <c r="D630" i="4"/>
  <c r="C631" i="4"/>
  <c r="D631" i="4"/>
  <c r="C632" i="4"/>
  <c r="D632" i="4"/>
  <c r="C633" i="4"/>
  <c r="D633" i="4"/>
  <c r="C634" i="4"/>
  <c r="D634" i="4"/>
  <c r="C635" i="4"/>
  <c r="D635" i="4"/>
  <c r="C636" i="4"/>
  <c r="D636" i="4"/>
  <c r="C637" i="4"/>
  <c r="D637" i="4"/>
  <c r="C638" i="4"/>
  <c r="D638" i="4"/>
  <c r="C639" i="4"/>
  <c r="D639" i="4"/>
  <c r="C640" i="4"/>
  <c r="D640" i="4"/>
  <c r="C641" i="4"/>
  <c r="D641" i="4"/>
  <c r="C642" i="4"/>
  <c r="D642" i="4"/>
  <c r="C643" i="4"/>
  <c r="D643" i="4"/>
  <c r="C644" i="4"/>
  <c r="G76" i="12"/>
  <c r="O101" i="1"/>
  <c r="D644" i="4"/>
  <c r="C645" i="4"/>
  <c r="D645" i="4"/>
  <c r="C646" i="4"/>
  <c r="D646" i="4"/>
  <c r="C647" i="4"/>
  <c r="D647" i="4"/>
  <c r="C648" i="4"/>
  <c r="D648" i="4"/>
  <c r="C649" i="4"/>
  <c r="D649" i="4"/>
  <c r="C650" i="4"/>
  <c r="D650" i="4"/>
  <c r="C651" i="4"/>
  <c r="D651" i="4"/>
  <c r="C652" i="4"/>
  <c r="D652" i="4"/>
  <c r="C653" i="4"/>
  <c r="D653" i="4"/>
  <c r="C654" i="4"/>
  <c r="D654" i="4"/>
  <c r="C655" i="4"/>
  <c r="G100" i="12"/>
  <c r="O111" i="1"/>
  <c r="D655" i="4"/>
  <c r="C656" i="4"/>
  <c r="D656" i="4"/>
  <c r="C657" i="4"/>
  <c r="O113" i="1"/>
  <c r="D657" i="4"/>
  <c r="C658" i="4"/>
  <c r="G27" i="12"/>
  <c r="O114" i="1"/>
  <c r="D658" i="4"/>
  <c r="C659" i="4"/>
  <c r="G77" i="12"/>
  <c r="O115" i="1"/>
  <c r="D659" i="4"/>
  <c r="C660" i="4"/>
  <c r="G78" i="12"/>
  <c r="O116" i="1"/>
  <c r="D660" i="4"/>
  <c r="C661" i="4"/>
  <c r="O117" i="1"/>
  <c r="D661" i="4"/>
  <c r="C662" i="4"/>
  <c r="G62" i="12"/>
  <c r="O118" i="1"/>
  <c r="D662" i="4"/>
  <c r="C663" i="4"/>
  <c r="O119" i="1"/>
  <c r="D663" i="4"/>
  <c r="C664" i="4"/>
  <c r="D664" i="4"/>
  <c r="C665" i="4"/>
  <c r="D665" i="4"/>
  <c r="C666" i="4"/>
  <c r="D666" i="4"/>
  <c r="C667" i="4"/>
  <c r="D667" i="4"/>
  <c r="C668" i="4"/>
  <c r="D668" i="4"/>
  <c r="C669" i="4"/>
  <c r="D669" i="4"/>
  <c r="C670" i="4"/>
  <c r="D670" i="4"/>
  <c r="C671" i="4"/>
  <c r="D671" i="4"/>
  <c r="C672" i="4"/>
  <c r="D672" i="4"/>
  <c r="C673" i="4"/>
  <c r="D673" i="4"/>
  <c r="C674" i="4"/>
  <c r="D674" i="4"/>
  <c r="C675" i="4"/>
  <c r="D675" i="4"/>
  <c r="C676" i="4"/>
  <c r="D676" i="4"/>
  <c r="C677" i="4"/>
  <c r="D677" i="4"/>
  <c r="C678" i="4"/>
  <c r="D678" i="4"/>
  <c r="C679" i="4"/>
  <c r="D679" i="4"/>
  <c r="C680" i="4"/>
  <c r="D680" i="4"/>
  <c r="C681" i="4"/>
  <c r="D681" i="4"/>
  <c r="C682" i="4"/>
  <c r="D682" i="4"/>
  <c r="C683" i="4"/>
  <c r="D683" i="4"/>
  <c r="C684" i="4"/>
  <c r="D684" i="4"/>
  <c r="C685" i="4"/>
  <c r="D685" i="4"/>
  <c r="C686" i="4"/>
  <c r="D686" i="4"/>
  <c r="C687" i="4"/>
  <c r="D687" i="4"/>
  <c r="C688" i="4"/>
  <c r="D688" i="4"/>
  <c r="C689" i="4"/>
  <c r="D689" i="4"/>
  <c r="C690" i="4"/>
  <c r="D690" i="4"/>
  <c r="C691" i="4"/>
  <c r="D691" i="4"/>
  <c r="C692" i="4"/>
  <c r="D692" i="4"/>
  <c r="C693" i="4"/>
  <c r="D693" i="4"/>
  <c r="C694" i="4"/>
  <c r="D694" i="4"/>
  <c r="C695" i="4"/>
  <c r="D695" i="4"/>
  <c r="C696" i="4"/>
  <c r="D696" i="4"/>
  <c r="C697" i="4"/>
  <c r="D697" i="4"/>
  <c r="C698" i="4"/>
  <c r="D698" i="4"/>
  <c r="C699" i="4"/>
  <c r="D699" i="4"/>
  <c r="C700" i="4"/>
  <c r="D700" i="4"/>
  <c r="C701" i="4"/>
  <c r="D701" i="4"/>
  <c r="C702" i="4"/>
  <c r="D702" i="4"/>
  <c r="C703" i="4"/>
  <c r="D703" i="4"/>
  <c r="C704" i="4"/>
  <c r="D704" i="4"/>
  <c r="C705" i="4"/>
  <c r="D705" i="4"/>
  <c r="C706" i="4"/>
  <c r="D706" i="4"/>
  <c r="C707" i="4"/>
  <c r="D707" i="4"/>
  <c r="C708" i="4"/>
  <c r="D708" i="4"/>
  <c r="C709" i="4"/>
  <c r="D709" i="4"/>
  <c r="C710" i="4"/>
  <c r="D710" i="4"/>
  <c r="C711" i="4"/>
  <c r="D711" i="4"/>
  <c r="C712" i="4"/>
  <c r="D712" i="4"/>
  <c r="C713" i="4"/>
  <c r="D713" i="4"/>
  <c r="C714" i="4"/>
  <c r="D714" i="4"/>
  <c r="C715" i="4"/>
  <c r="D715" i="4"/>
  <c r="C716" i="4"/>
  <c r="D716" i="4"/>
  <c r="C717" i="4"/>
  <c r="D717" i="4"/>
  <c r="C718" i="4"/>
  <c r="D718" i="4"/>
  <c r="C719" i="4"/>
  <c r="D719" i="4"/>
  <c r="C720" i="4"/>
  <c r="D720" i="4"/>
  <c r="C721" i="4"/>
  <c r="D721" i="4"/>
  <c r="C722" i="4"/>
  <c r="D722" i="4"/>
  <c r="C723" i="4"/>
  <c r="D723" i="4"/>
  <c r="C724" i="4"/>
  <c r="D724" i="4"/>
  <c r="C725" i="4"/>
  <c r="G101" i="12"/>
  <c r="O120" i="1"/>
  <c r="D725" i="4"/>
  <c r="C726" i="4"/>
  <c r="O121" i="1"/>
  <c r="D726" i="4"/>
  <c r="C727" i="4"/>
  <c r="O122" i="1"/>
  <c r="D727" i="4"/>
  <c r="C728" i="4"/>
  <c r="O123" i="1"/>
  <c r="D728" i="4"/>
  <c r="C729" i="4"/>
  <c r="D729" i="4"/>
  <c r="C730" i="4"/>
  <c r="D730" i="4"/>
  <c r="C731" i="4"/>
  <c r="D731" i="4"/>
  <c r="C732" i="4"/>
  <c r="D732" i="4"/>
  <c r="C733" i="4"/>
  <c r="D733" i="4"/>
  <c r="C734" i="4"/>
  <c r="D734" i="4"/>
  <c r="C735" i="4"/>
  <c r="D735" i="4"/>
  <c r="C736" i="4"/>
  <c r="D736" i="4"/>
  <c r="C737" i="4"/>
  <c r="D737" i="4"/>
  <c r="C738" i="4"/>
  <c r="D738" i="4"/>
  <c r="C739" i="4"/>
  <c r="D739" i="4"/>
  <c r="C740" i="4"/>
  <c r="D740" i="4"/>
  <c r="C741" i="4"/>
  <c r="D741" i="4"/>
  <c r="C742" i="4"/>
  <c r="D742" i="4"/>
  <c r="C743" i="4"/>
  <c r="D743" i="4"/>
  <c r="C744" i="4"/>
  <c r="D744" i="4"/>
  <c r="C745" i="4"/>
  <c r="D745" i="4"/>
  <c r="C746" i="4"/>
  <c r="D746" i="4"/>
  <c r="C747" i="4"/>
  <c r="D747" i="4"/>
  <c r="C748" i="4"/>
  <c r="D748" i="4"/>
  <c r="C749" i="4"/>
  <c r="D749" i="4"/>
  <c r="C750" i="4"/>
  <c r="D750" i="4"/>
  <c r="C751" i="4"/>
  <c r="D751" i="4"/>
  <c r="C752" i="4"/>
  <c r="D752" i="4"/>
  <c r="C753" i="4"/>
  <c r="D753" i="4"/>
  <c r="C754" i="4"/>
  <c r="D754" i="4"/>
  <c r="C755" i="4"/>
  <c r="D755" i="4"/>
  <c r="C756" i="4"/>
  <c r="D756" i="4"/>
  <c r="C757" i="4"/>
  <c r="D757" i="4"/>
  <c r="C758" i="4"/>
  <c r="D758" i="4"/>
  <c r="C759" i="4"/>
  <c r="D759" i="4"/>
  <c r="C760" i="4"/>
  <c r="D760" i="4"/>
  <c r="C761" i="4"/>
  <c r="D761" i="4"/>
  <c r="C762" i="4"/>
  <c r="D762" i="4"/>
  <c r="C763" i="4"/>
  <c r="D763" i="4"/>
  <c r="C764" i="4"/>
  <c r="D764" i="4"/>
  <c r="C765" i="4"/>
  <c r="D765" i="4"/>
  <c r="C766" i="4"/>
  <c r="D766" i="4"/>
  <c r="C767" i="4"/>
  <c r="D767" i="4"/>
  <c r="C768" i="4"/>
  <c r="D768" i="4"/>
  <c r="C769" i="4"/>
  <c r="D769" i="4"/>
  <c r="C770" i="4"/>
  <c r="D770" i="4"/>
  <c r="C771" i="4"/>
  <c r="D771" i="4"/>
  <c r="C772" i="4"/>
  <c r="D772" i="4"/>
  <c r="C773" i="4"/>
  <c r="D773" i="4"/>
  <c r="C774" i="4"/>
  <c r="D774" i="4"/>
  <c r="C775" i="4"/>
  <c r="D775" i="4"/>
  <c r="C776" i="4"/>
  <c r="D776" i="4"/>
  <c r="C777" i="4"/>
  <c r="D777" i="4"/>
  <c r="C778" i="4"/>
  <c r="D778" i="4"/>
  <c r="C779" i="4"/>
  <c r="D779" i="4"/>
  <c r="C780" i="4"/>
  <c r="D780" i="4"/>
  <c r="C781" i="4"/>
  <c r="D781" i="4"/>
  <c r="C782" i="4"/>
  <c r="D782" i="4"/>
  <c r="C783" i="4"/>
  <c r="D783" i="4"/>
  <c r="C784" i="4"/>
  <c r="D784" i="4"/>
  <c r="C785" i="4"/>
  <c r="D785" i="4"/>
  <c r="C786" i="4"/>
  <c r="D786" i="4"/>
  <c r="C787" i="4"/>
  <c r="D787" i="4"/>
  <c r="C788" i="4"/>
  <c r="D788" i="4"/>
  <c r="C789" i="4"/>
  <c r="D789" i="4"/>
  <c r="C790" i="4"/>
  <c r="D790" i="4"/>
  <c r="C791" i="4"/>
  <c r="D791" i="4"/>
  <c r="C792" i="4"/>
  <c r="D792" i="4"/>
  <c r="C793" i="4"/>
  <c r="D793" i="4"/>
  <c r="C794" i="4"/>
  <c r="D794" i="4"/>
  <c r="C795" i="4"/>
  <c r="D795" i="4"/>
  <c r="C796" i="4"/>
  <c r="D796" i="4"/>
  <c r="C797" i="4"/>
  <c r="D797" i="4"/>
  <c r="C798" i="4"/>
  <c r="D798" i="4"/>
  <c r="C799" i="4"/>
  <c r="D799" i="4"/>
  <c r="C800" i="4"/>
  <c r="D800" i="4"/>
  <c r="C801" i="4"/>
  <c r="D801" i="4"/>
  <c r="C802" i="4"/>
  <c r="D802" i="4"/>
  <c r="C803" i="4"/>
  <c r="D803" i="4"/>
  <c r="C804" i="4"/>
  <c r="D804" i="4"/>
  <c r="C805" i="4"/>
  <c r="D805" i="4"/>
  <c r="C806" i="4"/>
  <c r="D806" i="4"/>
  <c r="C807" i="4"/>
  <c r="D807" i="4"/>
  <c r="C808" i="4"/>
  <c r="D808" i="4"/>
  <c r="C809" i="4"/>
  <c r="D809" i="4"/>
  <c r="C810" i="4"/>
  <c r="D810" i="4"/>
  <c r="C811" i="4"/>
  <c r="D811" i="4"/>
  <c r="C812" i="4"/>
  <c r="D812" i="4"/>
  <c r="C813" i="4"/>
  <c r="D813" i="4"/>
  <c r="C814" i="4"/>
  <c r="D814" i="4"/>
  <c r="C815" i="4"/>
  <c r="D815" i="4"/>
  <c r="C816" i="4"/>
  <c r="D816" i="4"/>
  <c r="C817" i="4"/>
  <c r="D817" i="4"/>
  <c r="C818" i="4"/>
  <c r="D818" i="4"/>
  <c r="C819" i="4"/>
  <c r="D819" i="4"/>
  <c r="C820" i="4"/>
  <c r="D820" i="4"/>
  <c r="C821" i="4"/>
  <c r="D821" i="4"/>
  <c r="C822" i="4"/>
  <c r="D822" i="4"/>
  <c r="C823" i="4"/>
  <c r="D823" i="4"/>
  <c r="C824" i="4"/>
  <c r="D824" i="4"/>
  <c r="C825" i="4"/>
  <c r="D825" i="4"/>
  <c r="C826" i="4"/>
  <c r="D826" i="4"/>
  <c r="C827" i="4"/>
  <c r="D827" i="4"/>
  <c r="C828" i="4"/>
  <c r="D828" i="4"/>
  <c r="C829" i="4"/>
  <c r="O124" i="1"/>
  <c r="D829" i="4"/>
  <c r="C830" i="4"/>
  <c r="O125" i="1"/>
  <c r="D830" i="4"/>
  <c r="C831" i="4"/>
  <c r="G103" i="12"/>
  <c r="O126" i="1"/>
  <c r="D831" i="4"/>
  <c r="C832" i="4"/>
  <c r="O127" i="1"/>
  <c r="D832" i="4"/>
  <c r="C833" i="4"/>
  <c r="O128" i="1"/>
  <c r="D833" i="4"/>
  <c r="C834" i="4"/>
  <c r="O129" i="1"/>
  <c r="D834" i="4"/>
  <c r="C835" i="4"/>
  <c r="O130" i="1"/>
  <c r="D835" i="4"/>
  <c r="C836" i="4"/>
  <c r="O131" i="1"/>
  <c r="D836" i="4"/>
  <c r="C837" i="4"/>
  <c r="O132" i="1"/>
  <c r="D837" i="4"/>
  <c r="C838" i="4"/>
  <c r="O133" i="1"/>
  <c r="D838" i="4"/>
  <c r="C839" i="4"/>
  <c r="D839" i="4"/>
  <c r="C840" i="4"/>
  <c r="D840" i="4"/>
  <c r="C841" i="4"/>
  <c r="D841" i="4"/>
  <c r="C842" i="4"/>
  <c r="D842" i="4"/>
  <c r="C843" i="4"/>
  <c r="D843" i="4"/>
  <c r="C844" i="4"/>
  <c r="D844" i="4"/>
  <c r="C845" i="4"/>
  <c r="D845" i="4"/>
  <c r="C846" i="4"/>
  <c r="D846" i="4"/>
  <c r="C847" i="4"/>
  <c r="D847" i="4"/>
  <c r="C848" i="4"/>
  <c r="D848" i="4"/>
  <c r="C849" i="4"/>
  <c r="D849" i="4"/>
  <c r="C850" i="4"/>
  <c r="D850" i="4"/>
  <c r="C851" i="4"/>
  <c r="D851" i="4"/>
  <c r="C852" i="4"/>
  <c r="D852" i="4"/>
  <c r="C853" i="4"/>
  <c r="D853" i="4"/>
  <c r="C854" i="4"/>
  <c r="D854" i="4"/>
  <c r="C855" i="4"/>
  <c r="D855" i="4"/>
  <c r="C856" i="4"/>
  <c r="D856" i="4"/>
  <c r="C857" i="4"/>
  <c r="D857" i="4"/>
  <c r="C858" i="4"/>
  <c r="D858" i="4"/>
  <c r="C859" i="4"/>
  <c r="D859" i="4"/>
  <c r="C860" i="4"/>
  <c r="D860" i="4"/>
  <c r="C861" i="4"/>
  <c r="D861" i="4"/>
  <c r="C862" i="4"/>
  <c r="D862" i="4"/>
  <c r="C863" i="4"/>
  <c r="D863" i="4"/>
  <c r="C864" i="4"/>
  <c r="D864" i="4"/>
  <c r="C865" i="4"/>
  <c r="D865" i="4"/>
  <c r="C866" i="4"/>
  <c r="D866" i="4"/>
  <c r="C867" i="4"/>
  <c r="D867" i="4"/>
  <c r="C868" i="4"/>
  <c r="D868" i="4"/>
  <c r="C869" i="4"/>
  <c r="D869" i="4"/>
  <c r="C870" i="4"/>
  <c r="D870" i="4"/>
  <c r="C871" i="4"/>
  <c r="D871" i="4"/>
  <c r="C872" i="4"/>
  <c r="D872" i="4"/>
  <c r="C873" i="4"/>
  <c r="D873" i="4"/>
  <c r="C874" i="4"/>
  <c r="D874" i="4"/>
  <c r="C875" i="4"/>
  <c r="D875" i="4"/>
  <c r="C876" i="4"/>
  <c r="D876" i="4"/>
  <c r="C877" i="4"/>
  <c r="D877" i="4"/>
  <c r="C878" i="4"/>
  <c r="D878" i="4"/>
  <c r="C879" i="4"/>
  <c r="D879" i="4"/>
  <c r="C880" i="4"/>
  <c r="D880" i="4"/>
  <c r="C881" i="4"/>
  <c r="D881" i="4"/>
  <c r="C882" i="4"/>
  <c r="D882" i="4"/>
  <c r="C883" i="4"/>
  <c r="D883" i="4"/>
  <c r="C884" i="4"/>
  <c r="D884" i="4"/>
  <c r="C885" i="4"/>
  <c r="D885" i="4"/>
  <c r="C886" i="4"/>
  <c r="D886" i="4"/>
  <c r="C887" i="4"/>
  <c r="D887" i="4"/>
  <c r="C888" i="4"/>
  <c r="D888" i="4"/>
  <c r="C889" i="4"/>
  <c r="D889" i="4"/>
  <c r="C890" i="4"/>
  <c r="D890" i="4"/>
  <c r="C891" i="4"/>
  <c r="D891" i="4"/>
  <c r="C892" i="4"/>
  <c r="D892" i="4"/>
  <c r="C893" i="4"/>
  <c r="D893" i="4"/>
  <c r="C894" i="4"/>
  <c r="D894" i="4"/>
  <c r="C895" i="4"/>
  <c r="D895" i="4"/>
  <c r="C896" i="4"/>
  <c r="D896" i="4"/>
  <c r="C897" i="4"/>
  <c r="D897" i="4"/>
  <c r="C898" i="4"/>
  <c r="D898" i="4"/>
  <c r="C899" i="4"/>
  <c r="D899" i="4"/>
  <c r="C900" i="4"/>
  <c r="D900" i="4"/>
  <c r="C901" i="4"/>
  <c r="D901" i="4"/>
  <c r="C902" i="4"/>
  <c r="D902" i="4"/>
  <c r="C903" i="4"/>
  <c r="D903" i="4"/>
  <c r="C904" i="4"/>
  <c r="D904" i="4"/>
  <c r="C905" i="4"/>
  <c r="D905" i="4"/>
  <c r="C906" i="4"/>
  <c r="D906" i="4"/>
  <c r="C907" i="4"/>
  <c r="D907" i="4"/>
  <c r="C908" i="4"/>
  <c r="D908" i="4"/>
  <c r="C909" i="4"/>
  <c r="D909" i="4"/>
  <c r="C910" i="4"/>
  <c r="D910" i="4"/>
  <c r="C911" i="4"/>
  <c r="D911" i="4"/>
  <c r="C912" i="4"/>
  <c r="D912" i="4"/>
  <c r="C913" i="4"/>
  <c r="D913" i="4"/>
  <c r="C914" i="4"/>
  <c r="D914" i="4"/>
  <c r="C915" i="4"/>
  <c r="D915" i="4"/>
  <c r="C916" i="4"/>
  <c r="D916" i="4"/>
  <c r="C917" i="4"/>
  <c r="D917" i="4"/>
  <c r="C918" i="4"/>
  <c r="D918" i="4"/>
  <c r="C919" i="4"/>
  <c r="D919" i="4"/>
  <c r="C920" i="4"/>
  <c r="D920" i="4"/>
  <c r="C921" i="4"/>
  <c r="D921" i="4"/>
  <c r="C922" i="4"/>
  <c r="D922" i="4"/>
  <c r="C923" i="4"/>
  <c r="D923" i="4"/>
  <c r="C924" i="4"/>
  <c r="D924" i="4"/>
  <c r="C925" i="4"/>
  <c r="D925" i="4"/>
  <c r="C926" i="4"/>
  <c r="D926" i="4"/>
  <c r="C927" i="4"/>
  <c r="D927" i="4"/>
  <c r="C928" i="4"/>
  <c r="D928" i="4"/>
  <c r="C929" i="4"/>
  <c r="D929" i="4"/>
  <c r="C930" i="4"/>
  <c r="D930" i="4"/>
  <c r="C931" i="4"/>
  <c r="D931" i="4"/>
  <c r="C932" i="4"/>
  <c r="D932" i="4"/>
  <c r="C933" i="4"/>
  <c r="D933" i="4"/>
  <c r="C934" i="4"/>
  <c r="D934" i="4"/>
  <c r="C935" i="4"/>
  <c r="D935" i="4"/>
  <c r="C936" i="4"/>
  <c r="D936" i="4"/>
  <c r="C937" i="4"/>
  <c r="D937" i="4"/>
  <c r="C938" i="4"/>
  <c r="D938" i="4"/>
  <c r="C939" i="4"/>
  <c r="D939" i="4"/>
  <c r="C940" i="4"/>
  <c r="D940" i="4"/>
  <c r="C941" i="4"/>
  <c r="D941" i="4"/>
  <c r="C942" i="4"/>
  <c r="D942" i="4"/>
  <c r="C943" i="4"/>
  <c r="D943" i="4"/>
  <c r="C944" i="4"/>
  <c r="D944" i="4"/>
  <c r="C945" i="4"/>
  <c r="D945" i="4"/>
  <c r="C946" i="4"/>
  <c r="D946" i="4"/>
  <c r="C947" i="4"/>
  <c r="O134" i="1"/>
  <c r="D947" i="4"/>
  <c r="C948" i="4"/>
  <c r="O135" i="1"/>
  <c r="D948" i="4"/>
  <c r="C949" i="4"/>
  <c r="O136" i="1"/>
  <c r="D949" i="4"/>
  <c r="C950" i="4"/>
  <c r="D950" i="4"/>
  <c r="C951" i="4"/>
  <c r="D951" i="4"/>
  <c r="C952" i="4"/>
  <c r="D952" i="4"/>
  <c r="C953" i="4"/>
  <c r="D953" i="4"/>
  <c r="C954" i="4"/>
  <c r="D954" i="4"/>
  <c r="C955" i="4"/>
  <c r="D955" i="4"/>
  <c r="C956" i="4"/>
  <c r="D956" i="4"/>
  <c r="C957" i="4"/>
  <c r="D957" i="4"/>
  <c r="C958" i="4"/>
  <c r="D958" i="4"/>
  <c r="C959" i="4"/>
  <c r="D959" i="4"/>
  <c r="C960" i="4"/>
  <c r="D960" i="4"/>
  <c r="C961" i="4"/>
  <c r="D961" i="4"/>
  <c r="C962" i="4"/>
  <c r="D962" i="4"/>
  <c r="C963" i="4"/>
  <c r="D963" i="4"/>
  <c r="C964" i="4"/>
  <c r="D964" i="4"/>
  <c r="C965" i="4"/>
  <c r="D965" i="4"/>
  <c r="C966" i="4"/>
  <c r="D966" i="4"/>
  <c r="C967" i="4"/>
  <c r="D967" i="4"/>
  <c r="C968" i="4"/>
  <c r="D968" i="4"/>
  <c r="C969" i="4"/>
  <c r="D969" i="4"/>
  <c r="C970" i="4"/>
  <c r="D970" i="4"/>
  <c r="C971" i="4"/>
  <c r="D971" i="4"/>
  <c r="C972" i="4"/>
  <c r="D972" i="4"/>
  <c r="C973" i="4"/>
  <c r="D973" i="4"/>
  <c r="C974" i="4"/>
  <c r="D974" i="4"/>
  <c r="C975" i="4"/>
  <c r="D975" i="4"/>
  <c r="C976" i="4"/>
  <c r="D976" i="4"/>
  <c r="C977" i="4"/>
  <c r="D977" i="4"/>
  <c r="C978" i="4"/>
  <c r="D978" i="4"/>
  <c r="C979" i="4"/>
  <c r="D979" i="4"/>
  <c r="C980" i="4"/>
  <c r="D980" i="4"/>
  <c r="C981" i="4"/>
  <c r="D981" i="4"/>
  <c r="C982" i="4"/>
  <c r="D982" i="4"/>
  <c r="C983" i="4"/>
  <c r="D983" i="4"/>
  <c r="C984" i="4"/>
  <c r="D984" i="4"/>
  <c r="C985" i="4"/>
  <c r="D985" i="4"/>
  <c r="C986" i="4"/>
  <c r="D986" i="4"/>
  <c r="C987" i="4"/>
  <c r="D987" i="4"/>
  <c r="C988" i="4"/>
  <c r="D988" i="4"/>
  <c r="C989" i="4"/>
  <c r="D989" i="4"/>
  <c r="C990" i="4"/>
  <c r="D990" i="4"/>
  <c r="C991" i="4"/>
  <c r="D991" i="4"/>
  <c r="C992" i="4"/>
  <c r="D992" i="4"/>
  <c r="C993" i="4"/>
  <c r="D993" i="4"/>
  <c r="C994" i="4"/>
  <c r="D994" i="4"/>
  <c r="C995" i="4"/>
  <c r="D995" i="4"/>
  <c r="C996" i="4"/>
  <c r="D996" i="4"/>
  <c r="C997" i="4"/>
  <c r="D997" i="4"/>
  <c r="C998" i="4"/>
  <c r="D998" i="4"/>
  <c r="C999" i="4"/>
  <c r="D999" i="4"/>
  <c r="C1000" i="4"/>
  <c r="D1000" i="4"/>
  <c r="C1001" i="4"/>
  <c r="D1001" i="4"/>
  <c r="C1002" i="4"/>
  <c r="D1002" i="4"/>
  <c r="C1003" i="4"/>
  <c r="D1003" i="4"/>
  <c r="C1004" i="4"/>
  <c r="D1004" i="4"/>
  <c r="C1005" i="4"/>
  <c r="D1005" i="4"/>
  <c r="C1006" i="4"/>
  <c r="D1006" i="4"/>
  <c r="C1007" i="4"/>
  <c r="D1007" i="4"/>
  <c r="C1008" i="4"/>
  <c r="D1008" i="4"/>
  <c r="C1009" i="4"/>
  <c r="D1009" i="4"/>
  <c r="C1010" i="4"/>
  <c r="D1010" i="4"/>
  <c r="C1011" i="4"/>
  <c r="D1011" i="4"/>
  <c r="C1012" i="4"/>
  <c r="D1012" i="4"/>
  <c r="C1013" i="4"/>
  <c r="D1013" i="4"/>
  <c r="C1014" i="4"/>
  <c r="D1014" i="4"/>
  <c r="C1015" i="4"/>
  <c r="D1015" i="4"/>
  <c r="C1016" i="4"/>
  <c r="D1016" i="4"/>
  <c r="C1017" i="4"/>
  <c r="D1017" i="4"/>
  <c r="C1018" i="4"/>
  <c r="D1018" i="4"/>
  <c r="C1019" i="4"/>
  <c r="D1019" i="4"/>
  <c r="C1020" i="4"/>
  <c r="D1020" i="4"/>
  <c r="C1021" i="4"/>
  <c r="D1021" i="4"/>
  <c r="C1022" i="4"/>
  <c r="D1022" i="4"/>
  <c r="C1023" i="4"/>
  <c r="D1023" i="4"/>
  <c r="C1024" i="4"/>
  <c r="D1024" i="4"/>
  <c r="C1025" i="4"/>
  <c r="D1025" i="4"/>
  <c r="C1026" i="4"/>
  <c r="D1026" i="4"/>
  <c r="C1027" i="4"/>
  <c r="D1027" i="4"/>
  <c r="C1028" i="4"/>
  <c r="D1028" i="4"/>
  <c r="C1029" i="4"/>
  <c r="D1029" i="4"/>
  <c r="C1030" i="4"/>
  <c r="D1030" i="4"/>
  <c r="C1031" i="4"/>
  <c r="D1031" i="4"/>
  <c r="C1032" i="4"/>
  <c r="D1032" i="4"/>
  <c r="C1033" i="4"/>
  <c r="D1033" i="4"/>
  <c r="C1034" i="4"/>
  <c r="D1034" i="4"/>
  <c r="C1035" i="4"/>
  <c r="D1035" i="4"/>
  <c r="C1036" i="4"/>
  <c r="D1036" i="4"/>
  <c r="C1037" i="4"/>
  <c r="D1037" i="4"/>
  <c r="C1038" i="4"/>
  <c r="D1038" i="4"/>
  <c r="C1039" i="4"/>
  <c r="D1039" i="4"/>
  <c r="C1040" i="4"/>
  <c r="D1040" i="4"/>
  <c r="C1041" i="4"/>
  <c r="D1041" i="4"/>
  <c r="C1042" i="4"/>
  <c r="D1042" i="4"/>
  <c r="C1043" i="4"/>
  <c r="D1043" i="4"/>
  <c r="C1044" i="4"/>
  <c r="D1044" i="4"/>
  <c r="C1045" i="4"/>
  <c r="D1045" i="4"/>
  <c r="C1046" i="4"/>
  <c r="D1046" i="4"/>
  <c r="C1047" i="4"/>
  <c r="D1047" i="4"/>
  <c r="C1048" i="4"/>
  <c r="D1048" i="4"/>
  <c r="C1049" i="4"/>
  <c r="D1049" i="4"/>
  <c r="C1050" i="4"/>
  <c r="D1050" i="4"/>
  <c r="C1051" i="4"/>
  <c r="D1051" i="4"/>
  <c r="C1052" i="4"/>
  <c r="D1052" i="4"/>
  <c r="C1053" i="4"/>
  <c r="D1053" i="4"/>
  <c r="C1054" i="4"/>
  <c r="D1054" i="4"/>
  <c r="C1055" i="4"/>
  <c r="D1055" i="4"/>
  <c r="C1056" i="4"/>
  <c r="D1056" i="4"/>
  <c r="C1057" i="4"/>
  <c r="O137" i="1"/>
  <c r="D1057" i="4"/>
  <c r="C1058" i="4"/>
  <c r="O138" i="1"/>
  <c r="D1058" i="4"/>
  <c r="C1059" i="4"/>
  <c r="O139" i="1"/>
  <c r="D1059" i="4"/>
  <c r="C1060" i="4"/>
  <c r="O140" i="1"/>
  <c r="D1060" i="4"/>
  <c r="C1061" i="4"/>
  <c r="O141" i="1"/>
  <c r="D1061" i="4"/>
  <c r="C1062" i="4"/>
  <c r="O142" i="1"/>
  <c r="D1062" i="4"/>
  <c r="C1063" i="4"/>
  <c r="D1063" i="4"/>
  <c r="C1064" i="4"/>
  <c r="D1064" i="4"/>
  <c r="C1065" i="4"/>
  <c r="D1065" i="4"/>
  <c r="C1066" i="4"/>
  <c r="D1066" i="4"/>
  <c r="C1067" i="4"/>
  <c r="D1067" i="4"/>
  <c r="C1068" i="4"/>
  <c r="D1068" i="4"/>
  <c r="C1069" i="4"/>
  <c r="D1069" i="4"/>
  <c r="C1070" i="4"/>
  <c r="D1070" i="4"/>
  <c r="C1071" i="4"/>
  <c r="D1071" i="4"/>
  <c r="C1072" i="4"/>
  <c r="D1072" i="4"/>
  <c r="C1073" i="4"/>
  <c r="D1073" i="4"/>
  <c r="C1074" i="4"/>
  <c r="D1074" i="4"/>
  <c r="C1075" i="4"/>
  <c r="D1075" i="4"/>
  <c r="C1076" i="4"/>
  <c r="D1076" i="4"/>
  <c r="C1077" i="4"/>
  <c r="D1077" i="4"/>
  <c r="C1078" i="4"/>
  <c r="D1078" i="4"/>
  <c r="C1079" i="4"/>
  <c r="D1079" i="4"/>
  <c r="C1080" i="4"/>
  <c r="D1080" i="4"/>
  <c r="C1081" i="4"/>
  <c r="D1081" i="4"/>
  <c r="C1082" i="4"/>
  <c r="D1082" i="4"/>
  <c r="C1083" i="4"/>
  <c r="D1083" i="4"/>
  <c r="C1084" i="4"/>
  <c r="D1084" i="4"/>
  <c r="C1085" i="4"/>
  <c r="D1085" i="4"/>
  <c r="C1086" i="4"/>
  <c r="D1086" i="4"/>
  <c r="C1087" i="4"/>
  <c r="D1087" i="4"/>
  <c r="C1088" i="4"/>
  <c r="D1088" i="4"/>
  <c r="C1089" i="4"/>
  <c r="D1089" i="4"/>
  <c r="C1090" i="4"/>
  <c r="D1090" i="4"/>
  <c r="C1091" i="4"/>
  <c r="D1091" i="4"/>
  <c r="C1092" i="4"/>
  <c r="D1092" i="4"/>
  <c r="C1093" i="4"/>
  <c r="D1093" i="4"/>
  <c r="C1094" i="4"/>
  <c r="D1094" i="4"/>
  <c r="C1095" i="4"/>
  <c r="D1095" i="4"/>
  <c r="C1096" i="4"/>
  <c r="D1096" i="4"/>
  <c r="C1097" i="4"/>
  <c r="D1097" i="4"/>
  <c r="C1098" i="4"/>
  <c r="D1098" i="4"/>
  <c r="C1099" i="4"/>
  <c r="D1099" i="4"/>
  <c r="C1100" i="4"/>
  <c r="D1100" i="4"/>
  <c r="C1101" i="4"/>
  <c r="D1101" i="4"/>
  <c r="C1102" i="4"/>
  <c r="D1102" i="4"/>
  <c r="C1103" i="4"/>
  <c r="D1103" i="4"/>
  <c r="C1104" i="4"/>
  <c r="D1104" i="4"/>
  <c r="C1105" i="4"/>
  <c r="D1105" i="4"/>
  <c r="C1106" i="4"/>
  <c r="D1106" i="4"/>
  <c r="C1107" i="4"/>
  <c r="D1107" i="4"/>
  <c r="C1108" i="4"/>
  <c r="D1108" i="4"/>
  <c r="C1109" i="4"/>
  <c r="D1109" i="4"/>
  <c r="C1110" i="4"/>
  <c r="D1110" i="4"/>
  <c r="C1111" i="4"/>
  <c r="D1111" i="4"/>
  <c r="C1112" i="4"/>
  <c r="D1112" i="4"/>
  <c r="C1113" i="4"/>
  <c r="D1113" i="4"/>
  <c r="C1114" i="4"/>
  <c r="D1114" i="4"/>
  <c r="C1115" i="4"/>
  <c r="D1115" i="4"/>
  <c r="C1116" i="4"/>
  <c r="D1116" i="4"/>
  <c r="C1117" i="4"/>
  <c r="D1117" i="4"/>
  <c r="C1118" i="4"/>
  <c r="D1118" i="4"/>
  <c r="C1119" i="4"/>
  <c r="D1119" i="4"/>
  <c r="C1120" i="4"/>
  <c r="D1120" i="4"/>
  <c r="C1121" i="4"/>
  <c r="D1121" i="4"/>
  <c r="C1122" i="4"/>
  <c r="D1122" i="4"/>
  <c r="C1123" i="4"/>
  <c r="D1123" i="4"/>
  <c r="C1124" i="4"/>
  <c r="D1124" i="4"/>
  <c r="C1125" i="4"/>
  <c r="D1125" i="4"/>
  <c r="C1126" i="4"/>
  <c r="D1126" i="4"/>
  <c r="R1126" i="4"/>
  <c r="C1127" i="4"/>
  <c r="D1127" i="4"/>
  <c r="C1128" i="4"/>
  <c r="D1128" i="4"/>
  <c r="C1129" i="4"/>
  <c r="D1129" i="4"/>
  <c r="C1130" i="4"/>
  <c r="D1130" i="4"/>
  <c r="C1131" i="4"/>
  <c r="D1131" i="4"/>
  <c r="C1132" i="4"/>
  <c r="D1132" i="4"/>
  <c r="C1133" i="4"/>
  <c r="D1133" i="4"/>
  <c r="C1134" i="4"/>
  <c r="D1134" i="4"/>
  <c r="C1135" i="4"/>
  <c r="D1135" i="4"/>
  <c r="C1136" i="4"/>
  <c r="D1136" i="4"/>
  <c r="C1137" i="4"/>
  <c r="D1137" i="4"/>
  <c r="C1138" i="4"/>
  <c r="D1138" i="4"/>
  <c r="C1139" i="4"/>
  <c r="D1139" i="4"/>
  <c r="C1140" i="4"/>
  <c r="D1140" i="4"/>
  <c r="C1141" i="4"/>
  <c r="D1141" i="4"/>
  <c r="C1142" i="4"/>
  <c r="D1142" i="4"/>
  <c r="C1143" i="4"/>
  <c r="D1143" i="4"/>
  <c r="C1144" i="4"/>
  <c r="D1144" i="4"/>
  <c r="C1145" i="4"/>
  <c r="D1145" i="4"/>
  <c r="C1146" i="4"/>
  <c r="D1146" i="4"/>
  <c r="C1147" i="4"/>
  <c r="D1147" i="4"/>
  <c r="C1148" i="4"/>
  <c r="D1148" i="4"/>
  <c r="R1148" i="4"/>
  <c r="C1149" i="4"/>
  <c r="D1149" i="4"/>
  <c r="C1150" i="4"/>
  <c r="D1150" i="4"/>
  <c r="C1151" i="4"/>
  <c r="D1151" i="4"/>
  <c r="C1152" i="4"/>
  <c r="D1152" i="4"/>
  <c r="C1153" i="4"/>
  <c r="D1153" i="4"/>
  <c r="C1154" i="4"/>
  <c r="D1154" i="4"/>
  <c r="C1155" i="4"/>
  <c r="D1155" i="4"/>
  <c r="C1156" i="4"/>
  <c r="D1156" i="4"/>
  <c r="C1157" i="4"/>
  <c r="D1157" i="4"/>
  <c r="C1158" i="4"/>
  <c r="D1158" i="4"/>
  <c r="C1159" i="4"/>
  <c r="D1159" i="4"/>
  <c r="C1160" i="4"/>
  <c r="D1160" i="4"/>
  <c r="C1161" i="4"/>
  <c r="D1161" i="4"/>
  <c r="C1162" i="4"/>
  <c r="D1162" i="4"/>
  <c r="C1163" i="4"/>
  <c r="D1163" i="4"/>
  <c r="C1164" i="4"/>
  <c r="D1164" i="4"/>
  <c r="C1165" i="4"/>
  <c r="D1165" i="4"/>
  <c r="C1166" i="4"/>
  <c r="D1166" i="4"/>
  <c r="C1167" i="4"/>
  <c r="D1167" i="4"/>
  <c r="C1168" i="4"/>
  <c r="D1168" i="4"/>
  <c r="C1169" i="4"/>
  <c r="D1169" i="4"/>
  <c r="C1170" i="4"/>
  <c r="D1170" i="4"/>
  <c r="C1171" i="4"/>
  <c r="D1171" i="4"/>
  <c r="C1172" i="4"/>
  <c r="D1172" i="4"/>
  <c r="C1173" i="4"/>
  <c r="D1173" i="4"/>
  <c r="C1174" i="4"/>
  <c r="D1174" i="4"/>
  <c r="C1175" i="4"/>
  <c r="D1175" i="4"/>
  <c r="C1176" i="4"/>
  <c r="O143" i="1"/>
  <c r="D1176" i="4"/>
  <c r="C1177" i="4"/>
  <c r="O144" i="1"/>
  <c r="D1177" i="4"/>
  <c r="C1178" i="4"/>
  <c r="O145" i="1"/>
  <c r="D1178" i="4"/>
  <c r="C1179" i="4"/>
  <c r="O146" i="1"/>
  <c r="D1179" i="4"/>
  <c r="C1180" i="4"/>
  <c r="O147" i="1"/>
  <c r="D1180" i="4"/>
  <c r="C1181" i="4"/>
  <c r="O148" i="1"/>
  <c r="D1181" i="4"/>
  <c r="C1182" i="4"/>
  <c r="O149" i="1"/>
  <c r="D1182" i="4"/>
  <c r="C1183" i="4"/>
  <c r="D1183" i="4"/>
  <c r="C1184" i="4"/>
  <c r="D1184" i="4"/>
  <c r="C1185" i="4"/>
  <c r="D1185" i="4"/>
  <c r="C1186" i="4"/>
  <c r="D1186" i="4"/>
  <c r="C1187" i="4"/>
  <c r="D1187" i="4"/>
  <c r="C1188" i="4"/>
  <c r="D1188" i="4"/>
  <c r="C1189" i="4"/>
  <c r="D1189" i="4"/>
  <c r="C1190" i="4"/>
  <c r="D1190" i="4"/>
  <c r="C1191" i="4"/>
  <c r="D1191" i="4"/>
  <c r="C1192" i="4"/>
  <c r="D1192" i="4"/>
  <c r="C1193" i="4"/>
  <c r="D1193" i="4"/>
  <c r="C1194" i="4"/>
  <c r="D1194" i="4"/>
  <c r="C1195" i="4"/>
  <c r="D1195" i="4"/>
  <c r="C1196" i="4"/>
  <c r="D1196" i="4"/>
  <c r="C1197" i="4"/>
  <c r="D1197" i="4"/>
  <c r="C1198" i="4"/>
  <c r="D1198" i="4"/>
  <c r="C1199" i="4"/>
  <c r="D1199" i="4"/>
  <c r="C1200" i="4"/>
  <c r="D1200" i="4"/>
  <c r="C1201" i="4"/>
  <c r="D1201" i="4"/>
  <c r="C1202" i="4"/>
  <c r="D1202" i="4"/>
  <c r="C1203" i="4"/>
  <c r="D1203" i="4"/>
  <c r="C1204" i="4"/>
  <c r="D1204" i="4"/>
  <c r="C1205" i="4"/>
  <c r="D1205" i="4"/>
  <c r="C1206" i="4"/>
  <c r="D1206" i="4"/>
  <c r="C1207" i="4"/>
  <c r="D1207" i="4"/>
  <c r="C1208" i="4"/>
  <c r="D1208" i="4"/>
  <c r="C1209" i="4"/>
  <c r="D1209" i="4"/>
  <c r="C1210" i="4"/>
  <c r="D1210" i="4"/>
  <c r="C1211" i="4"/>
  <c r="D1211" i="4"/>
  <c r="C1212" i="4"/>
  <c r="D1212" i="4"/>
  <c r="C1213" i="4"/>
  <c r="D1213" i="4"/>
  <c r="C1214" i="4"/>
  <c r="D1214" i="4"/>
  <c r="C1215" i="4"/>
  <c r="D1215" i="4"/>
  <c r="C1216" i="4"/>
  <c r="D1216" i="4"/>
  <c r="C1217" i="4"/>
  <c r="D1217" i="4"/>
  <c r="C1218" i="4"/>
  <c r="D1218" i="4"/>
  <c r="C1219" i="4"/>
  <c r="D1219" i="4"/>
  <c r="C1220" i="4"/>
  <c r="D1220" i="4"/>
  <c r="C1221" i="4"/>
  <c r="D1221" i="4"/>
  <c r="C1222" i="4"/>
  <c r="D1222" i="4"/>
  <c r="C1223" i="4"/>
  <c r="D1223" i="4"/>
  <c r="C1224" i="4"/>
  <c r="D1224" i="4"/>
  <c r="C1225" i="4"/>
  <c r="D1225" i="4"/>
  <c r="C1226" i="4"/>
  <c r="D1226" i="4"/>
  <c r="C1227" i="4"/>
  <c r="D1227" i="4"/>
  <c r="C1228" i="4"/>
  <c r="D1228" i="4"/>
  <c r="C1229" i="4"/>
  <c r="D1229" i="4"/>
  <c r="C1230" i="4"/>
  <c r="D1230" i="4"/>
  <c r="C1231" i="4"/>
  <c r="D1231" i="4"/>
  <c r="C1232" i="4"/>
  <c r="D1232" i="4"/>
  <c r="C1233" i="4"/>
  <c r="D1233" i="4"/>
  <c r="C1234" i="4"/>
  <c r="D1234" i="4"/>
  <c r="C1235" i="4"/>
  <c r="D1235" i="4"/>
  <c r="C1236" i="4"/>
  <c r="D1236" i="4"/>
  <c r="C1237" i="4"/>
  <c r="D1237" i="4"/>
  <c r="C1238" i="4"/>
  <c r="D1238" i="4"/>
  <c r="C1239" i="4"/>
  <c r="D1239" i="4"/>
  <c r="C1240" i="4"/>
  <c r="D1240" i="4"/>
  <c r="C1241" i="4"/>
  <c r="D1241" i="4"/>
  <c r="C1242" i="4"/>
  <c r="D1242" i="4"/>
  <c r="C1243" i="4"/>
  <c r="D1243" i="4"/>
  <c r="C1244" i="4"/>
  <c r="D1244" i="4"/>
  <c r="C1245" i="4"/>
  <c r="D1245" i="4"/>
  <c r="C1246" i="4"/>
  <c r="D1246" i="4"/>
  <c r="C1247" i="4"/>
  <c r="D1247" i="4"/>
  <c r="C1248" i="4"/>
  <c r="D1248" i="4"/>
  <c r="C1249" i="4"/>
  <c r="D1249" i="4"/>
  <c r="C1250" i="4"/>
  <c r="D1250" i="4"/>
  <c r="C1251" i="4"/>
  <c r="D1251" i="4"/>
  <c r="C1252" i="4"/>
  <c r="D1252" i="4"/>
  <c r="C1253" i="4"/>
  <c r="D1253" i="4"/>
  <c r="C1254" i="4"/>
  <c r="D1254" i="4"/>
  <c r="C1255" i="4"/>
  <c r="D1255" i="4"/>
  <c r="C1256" i="4"/>
  <c r="D1256" i="4"/>
  <c r="C1257" i="4"/>
  <c r="D1257" i="4"/>
  <c r="C1258" i="4"/>
  <c r="D1258" i="4"/>
  <c r="C1259" i="4"/>
  <c r="D1259" i="4"/>
  <c r="C1260" i="4"/>
  <c r="D1260" i="4"/>
  <c r="C1261" i="4"/>
  <c r="D1261" i="4"/>
  <c r="C1262" i="4"/>
  <c r="D1262" i="4"/>
  <c r="C1263" i="4"/>
  <c r="D1263" i="4"/>
  <c r="C1264" i="4"/>
  <c r="D1264" i="4"/>
  <c r="C1265" i="4"/>
  <c r="D1265" i="4"/>
  <c r="C1266" i="4"/>
  <c r="D1266" i="4"/>
  <c r="C1267" i="4"/>
  <c r="D1267" i="4"/>
  <c r="C1268" i="4"/>
  <c r="D1268" i="4"/>
  <c r="C1269" i="4"/>
  <c r="D1269" i="4"/>
  <c r="C1270" i="4"/>
  <c r="D1270" i="4"/>
  <c r="C1271" i="4"/>
  <c r="D1271" i="4"/>
  <c r="C1272" i="4"/>
  <c r="D1272" i="4"/>
  <c r="C1273" i="4"/>
  <c r="D1273" i="4"/>
  <c r="C1274" i="4"/>
  <c r="D1274" i="4"/>
  <c r="C1275" i="4"/>
  <c r="D1275" i="4"/>
  <c r="C1276" i="4"/>
  <c r="D1276" i="4"/>
  <c r="C1277" i="4"/>
  <c r="D1277" i="4"/>
  <c r="C1278" i="4"/>
  <c r="D1278" i="4"/>
  <c r="C1279" i="4"/>
  <c r="D1279" i="4"/>
  <c r="C1280" i="4"/>
  <c r="D1280" i="4"/>
  <c r="C1281" i="4"/>
  <c r="D1281" i="4"/>
  <c r="C1282" i="4"/>
  <c r="D1282" i="4"/>
  <c r="C1283" i="4"/>
  <c r="D1283" i="4"/>
  <c r="C1284" i="4"/>
  <c r="D1284" i="4"/>
  <c r="C1285" i="4"/>
  <c r="D1285" i="4"/>
  <c r="C1286" i="4"/>
  <c r="D1286" i="4"/>
  <c r="C1287" i="4"/>
  <c r="D1287" i="4"/>
  <c r="C1288" i="4"/>
  <c r="D1288" i="4"/>
  <c r="C1289" i="4"/>
  <c r="D1289" i="4"/>
  <c r="C1290" i="4"/>
  <c r="D1290" i="4"/>
  <c r="C1291" i="4"/>
  <c r="D1291" i="4"/>
  <c r="C1292" i="4"/>
  <c r="D1292" i="4"/>
  <c r="C1293" i="4"/>
  <c r="D1293" i="4"/>
  <c r="C1294" i="4"/>
  <c r="D1294" i="4"/>
  <c r="C1295" i="4"/>
  <c r="D1295" i="4"/>
  <c r="C1296" i="4"/>
  <c r="D1296" i="4"/>
  <c r="C1297" i="4"/>
  <c r="D1297" i="4"/>
  <c r="C1298" i="4"/>
  <c r="D1298" i="4"/>
  <c r="C1299" i="4"/>
  <c r="D1299" i="4"/>
  <c r="C1300" i="4"/>
  <c r="D1300" i="4"/>
  <c r="C1301" i="4"/>
  <c r="D1301" i="4"/>
  <c r="C1302" i="4"/>
  <c r="D1302" i="4"/>
  <c r="C1303" i="4"/>
  <c r="D1303" i="4"/>
  <c r="C1304" i="4"/>
  <c r="D1304" i="4"/>
  <c r="C1305" i="4"/>
  <c r="D1305" i="4"/>
  <c r="C1306" i="4"/>
  <c r="D1306" i="4"/>
  <c r="C1307" i="4"/>
  <c r="D1307" i="4"/>
  <c r="C1308" i="4"/>
  <c r="D1308" i="4"/>
  <c r="C1309" i="4"/>
  <c r="D1309" i="4"/>
  <c r="C1310" i="4"/>
  <c r="D1310" i="4"/>
  <c r="C1311" i="4"/>
  <c r="D1311" i="4"/>
  <c r="C1312" i="4"/>
  <c r="D1312" i="4"/>
  <c r="C1313" i="4"/>
  <c r="D1313" i="4"/>
  <c r="C1314" i="4"/>
  <c r="D1314" i="4"/>
  <c r="C1315" i="4"/>
  <c r="D1315" i="4"/>
  <c r="C1316" i="4"/>
  <c r="D1316" i="4"/>
  <c r="C1317" i="4"/>
  <c r="D1317" i="4"/>
  <c r="C1318" i="4"/>
  <c r="D1318" i="4"/>
  <c r="R1318" i="4"/>
  <c r="C1319" i="4"/>
  <c r="D1319" i="4"/>
  <c r="C1320" i="4"/>
  <c r="D1320" i="4"/>
  <c r="C1321" i="4"/>
  <c r="D1321" i="4"/>
  <c r="C1322" i="4"/>
  <c r="D1322" i="4"/>
  <c r="C1323" i="4"/>
  <c r="D1323" i="4"/>
  <c r="C1324" i="4"/>
  <c r="D1324" i="4"/>
  <c r="C1325" i="4"/>
  <c r="D1325" i="4"/>
  <c r="C1326" i="4"/>
  <c r="D1326" i="4"/>
  <c r="C1327" i="4"/>
  <c r="D1327" i="4"/>
  <c r="C1328" i="4"/>
  <c r="D1328" i="4"/>
  <c r="C1329" i="4"/>
  <c r="D1329" i="4"/>
  <c r="C1330" i="4"/>
  <c r="D1330" i="4"/>
  <c r="C1331" i="4"/>
  <c r="D1331" i="4"/>
  <c r="C1332" i="4"/>
  <c r="D1332" i="4"/>
  <c r="C1333" i="4"/>
  <c r="D1333" i="4"/>
  <c r="C1334" i="4"/>
  <c r="D1334" i="4"/>
  <c r="C1335" i="4"/>
  <c r="D1335" i="4"/>
  <c r="C1336" i="4"/>
  <c r="D1336" i="4"/>
  <c r="C1337" i="4"/>
  <c r="D1337" i="4"/>
  <c r="C1338" i="4"/>
  <c r="D1338" i="4"/>
  <c r="C1339" i="4"/>
  <c r="D1339" i="4"/>
  <c r="C1340" i="4"/>
  <c r="D1340" i="4"/>
  <c r="C1341" i="4"/>
  <c r="D1341" i="4"/>
  <c r="C1342" i="4"/>
  <c r="D1342" i="4"/>
  <c r="C1343" i="4"/>
  <c r="D1343" i="4"/>
  <c r="C1344" i="4"/>
  <c r="D1344" i="4"/>
  <c r="C1345" i="4"/>
  <c r="D1345" i="4"/>
  <c r="C1346" i="4"/>
  <c r="D1346" i="4"/>
  <c r="C1347" i="4"/>
  <c r="D1347" i="4"/>
  <c r="C1348" i="4"/>
  <c r="D1348" i="4"/>
  <c r="C1349" i="4"/>
  <c r="D1349" i="4"/>
  <c r="C1350" i="4"/>
  <c r="D1350" i="4"/>
  <c r="C1351" i="4"/>
  <c r="D1351" i="4"/>
  <c r="C1352" i="4"/>
  <c r="D1352" i="4"/>
  <c r="C1353" i="4"/>
  <c r="D1353" i="4"/>
  <c r="C1354" i="4"/>
  <c r="D1354" i="4"/>
  <c r="C1355" i="4"/>
  <c r="D1355" i="4"/>
  <c r="C1356" i="4"/>
  <c r="D1356" i="4"/>
  <c r="C1357" i="4"/>
  <c r="D1357" i="4"/>
  <c r="C1358" i="4"/>
  <c r="D1358" i="4"/>
  <c r="C1359" i="4"/>
  <c r="D1359" i="4"/>
  <c r="C1360" i="4"/>
  <c r="D1360" i="4"/>
  <c r="C1361" i="4"/>
  <c r="D1361" i="4"/>
  <c r="C1362" i="4"/>
  <c r="D1362" i="4"/>
  <c r="C1363" i="4"/>
  <c r="D1363" i="4"/>
  <c r="C1364" i="4"/>
  <c r="D1364" i="4"/>
  <c r="C1365" i="4"/>
  <c r="D1365" i="4"/>
  <c r="C1366" i="4"/>
  <c r="D1366" i="4"/>
  <c r="C1367" i="4"/>
  <c r="D1367" i="4"/>
  <c r="I13" i="3"/>
  <c r="I14" i="3"/>
  <c r="I15" i="3"/>
  <c r="I16" i="3"/>
  <c r="I17" i="3"/>
  <c r="I18" i="3"/>
  <c r="I19" i="3"/>
  <c r="I20" i="3"/>
  <c r="I21" i="3"/>
  <c r="I22" i="3"/>
  <c r="I23" i="3"/>
  <c r="I24" i="3"/>
  <c r="I25" i="3"/>
  <c r="I26" i="3"/>
  <c r="I27" i="3"/>
  <c r="I28" i="3"/>
  <c r="I29" i="3"/>
  <c r="I30" i="3"/>
  <c r="I31" i="3"/>
  <c r="I32" i="3"/>
  <c r="I33" i="3"/>
  <c r="I34"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Q124" i="4"/>
  <c r="U124" i="4"/>
  <c r="F13" i="3"/>
  <c r="G13" i="3"/>
  <c r="H13" i="3"/>
  <c r="F14" i="3"/>
  <c r="G14" i="3"/>
  <c r="H14" i="3"/>
  <c r="F15" i="3"/>
  <c r="G15" i="3"/>
  <c r="H15" i="3"/>
  <c r="F16" i="3"/>
  <c r="G16" i="3"/>
  <c r="H16" i="3"/>
  <c r="F17" i="3"/>
  <c r="G17" i="3"/>
  <c r="H17" i="3"/>
  <c r="F18" i="3"/>
  <c r="G18" i="3"/>
  <c r="H18" i="3"/>
  <c r="F19" i="3"/>
  <c r="G19" i="3"/>
  <c r="H19" i="3"/>
  <c r="F20" i="3"/>
  <c r="G20" i="3"/>
  <c r="H20" i="3"/>
  <c r="F21" i="3"/>
  <c r="G21" i="3"/>
  <c r="H21" i="3"/>
  <c r="F22" i="3"/>
  <c r="G22" i="3"/>
  <c r="H22" i="3"/>
  <c r="F24" i="3"/>
  <c r="G24" i="3"/>
  <c r="H24"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U512" i="4"/>
  <c r="H127" i="3"/>
  <c r="G127" i="3"/>
  <c r="F127" i="3"/>
  <c r="E127" i="3"/>
  <c r="D127" i="3"/>
  <c r="E104" i="3"/>
  <c r="D104" i="3"/>
  <c r="A2" i="15"/>
  <c r="AA515" i="4"/>
  <c r="U515" i="4"/>
  <c r="V515" i="4"/>
  <c r="U820" i="4"/>
  <c r="AA705" i="4"/>
  <c r="U705" i="4"/>
  <c r="V705" i="4"/>
  <c r="I705" i="4"/>
  <c r="F705" i="4"/>
  <c r="E705" i="4"/>
  <c r="B705" i="4"/>
  <c r="U688" i="4"/>
  <c r="U686" i="4"/>
  <c r="U701" i="4"/>
  <c r="U498" i="4"/>
  <c r="U500" i="4"/>
  <c r="U490" i="4"/>
  <c r="G102" i="12"/>
  <c r="G88" i="12"/>
  <c r="G87" i="12"/>
  <c r="G72" i="12"/>
  <c r="G64" i="12"/>
  <c r="G63" i="12"/>
  <c r="G54" i="12"/>
  <c r="G53" i="12"/>
  <c r="G52" i="12"/>
  <c r="G51" i="12"/>
  <c r="G49" i="12"/>
  <c r="G41" i="12"/>
  <c r="G38" i="12"/>
  <c r="G37" i="12"/>
  <c r="G35" i="12"/>
  <c r="G33" i="12"/>
  <c r="G28" i="12"/>
  <c r="G25" i="12"/>
  <c r="G18" i="12"/>
  <c r="G17" i="12"/>
  <c r="G2" i="12"/>
  <c r="U136" i="4"/>
  <c r="U1367" i="4"/>
  <c r="V1367" i="4"/>
  <c r="U1366" i="4"/>
  <c r="V1366" i="4"/>
  <c r="U1365" i="4"/>
  <c r="V1365" i="4"/>
  <c r="U1364" i="4"/>
  <c r="V1364" i="4"/>
  <c r="U1363" i="4"/>
  <c r="V1363" i="4"/>
  <c r="U1362" i="4"/>
  <c r="V1362" i="4"/>
  <c r="U1361" i="4"/>
  <c r="V1361" i="4"/>
  <c r="U1360" i="4"/>
  <c r="V1360" i="4"/>
  <c r="U1359" i="4"/>
  <c r="V1359" i="4"/>
  <c r="U1358" i="4"/>
  <c r="V1358" i="4"/>
  <c r="U1357" i="4"/>
  <c r="V1357" i="4"/>
  <c r="U1356" i="4"/>
  <c r="V1356" i="4"/>
  <c r="U1355" i="4"/>
  <c r="V1355" i="4"/>
  <c r="U1354" i="4"/>
  <c r="V1354" i="4"/>
  <c r="U1353" i="4"/>
  <c r="V1353" i="4"/>
  <c r="U1352" i="4"/>
  <c r="V1352" i="4"/>
  <c r="U1351" i="4"/>
  <c r="V1351" i="4"/>
  <c r="U1350" i="4"/>
  <c r="V1350" i="4"/>
  <c r="U1349" i="4"/>
  <c r="V1349" i="4"/>
  <c r="U1348" i="4"/>
  <c r="V1348" i="4"/>
  <c r="U1347" i="4"/>
  <c r="V1347" i="4"/>
  <c r="U1346" i="4"/>
  <c r="V1346" i="4"/>
  <c r="U1345" i="4"/>
  <c r="V1345" i="4"/>
  <c r="U1344" i="4"/>
  <c r="V1344" i="4"/>
  <c r="U1343" i="4"/>
  <c r="V1343" i="4"/>
  <c r="U1342" i="4"/>
  <c r="V1342" i="4"/>
  <c r="U1341" i="4"/>
  <c r="V1341" i="4"/>
  <c r="U1340" i="4"/>
  <c r="V1340" i="4"/>
  <c r="U1339" i="4"/>
  <c r="V1339" i="4"/>
  <c r="U1338" i="4"/>
  <c r="V1338" i="4"/>
  <c r="U1337" i="4"/>
  <c r="V1337" i="4"/>
  <c r="V1336" i="4"/>
  <c r="U1335" i="4"/>
  <c r="V1335" i="4"/>
  <c r="V1334" i="4"/>
  <c r="U1333" i="4"/>
  <c r="V1333" i="4"/>
  <c r="U1332" i="4"/>
  <c r="V1332" i="4"/>
  <c r="U1331" i="4"/>
  <c r="V1331" i="4"/>
  <c r="U1330" i="4"/>
  <c r="V1330" i="4"/>
  <c r="U1329" i="4"/>
  <c r="V1329" i="4"/>
  <c r="U1328" i="4"/>
  <c r="V1328" i="4"/>
  <c r="U1327" i="4"/>
  <c r="V1327" i="4"/>
  <c r="U1326" i="4"/>
  <c r="V1326" i="4"/>
  <c r="U1325" i="4"/>
  <c r="V1325" i="4"/>
  <c r="U1324" i="4"/>
  <c r="V1324" i="4"/>
  <c r="V1323" i="4"/>
  <c r="U1322" i="4"/>
  <c r="V1322" i="4"/>
  <c r="V1321" i="4"/>
  <c r="U1320" i="4"/>
  <c r="V1320" i="4"/>
  <c r="V1319" i="4"/>
  <c r="U1318" i="4"/>
  <c r="V1318" i="4"/>
  <c r="U1317" i="4"/>
  <c r="V1317" i="4"/>
  <c r="V1316" i="4"/>
  <c r="V1315" i="4"/>
  <c r="V1314" i="4"/>
  <c r="V1313" i="4"/>
  <c r="V1312" i="4"/>
  <c r="V1311" i="4"/>
  <c r="V1310" i="4"/>
  <c r="V1309" i="4"/>
  <c r="V1308" i="4"/>
  <c r="V1307" i="4"/>
  <c r="V1306" i="4"/>
  <c r="U1305" i="4"/>
  <c r="V1305" i="4"/>
  <c r="V1304" i="4"/>
  <c r="V1303" i="4"/>
  <c r="V1302" i="4"/>
  <c r="V1301" i="4"/>
  <c r="V1300" i="4"/>
  <c r="U1299" i="4"/>
  <c r="V1299" i="4"/>
  <c r="U1298" i="4"/>
  <c r="V1298" i="4"/>
  <c r="U1297" i="4"/>
  <c r="V1297" i="4"/>
  <c r="U1296" i="4"/>
  <c r="V1296" i="4"/>
  <c r="U1295" i="4"/>
  <c r="V1295" i="4"/>
  <c r="U1294" i="4"/>
  <c r="V1294" i="4"/>
  <c r="U1293" i="4"/>
  <c r="V1293" i="4"/>
  <c r="U1292" i="4"/>
  <c r="V1292" i="4"/>
  <c r="U1291" i="4"/>
  <c r="V1291" i="4"/>
  <c r="U1290" i="4"/>
  <c r="V1290" i="4"/>
  <c r="U1289" i="4"/>
  <c r="V1289" i="4"/>
  <c r="U1288" i="4"/>
  <c r="V1288" i="4"/>
  <c r="U1287" i="4"/>
  <c r="V1287" i="4"/>
  <c r="U1286" i="4"/>
  <c r="V1286" i="4"/>
  <c r="U1285" i="4"/>
  <c r="V1285" i="4"/>
  <c r="U1284" i="4"/>
  <c r="V1284" i="4"/>
  <c r="U1283" i="4"/>
  <c r="V1283" i="4"/>
  <c r="U1282" i="4"/>
  <c r="V1282" i="4"/>
  <c r="U1281" i="4"/>
  <c r="V1281" i="4"/>
  <c r="U1280" i="4"/>
  <c r="V1280" i="4"/>
  <c r="U1279" i="4"/>
  <c r="V1279" i="4"/>
  <c r="U1278" i="4"/>
  <c r="V1278" i="4"/>
  <c r="U1277" i="4"/>
  <c r="V1277" i="4"/>
  <c r="U1276" i="4"/>
  <c r="V1276" i="4"/>
  <c r="U1275" i="4"/>
  <c r="V1275" i="4"/>
  <c r="U1274" i="4"/>
  <c r="V1274" i="4"/>
  <c r="U1273" i="4"/>
  <c r="V1273" i="4"/>
  <c r="V1272" i="4"/>
  <c r="U1271" i="4"/>
  <c r="V1271" i="4"/>
  <c r="V1270" i="4"/>
  <c r="V1269" i="4"/>
  <c r="U1268" i="4"/>
  <c r="V1268" i="4"/>
  <c r="V1267" i="4"/>
  <c r="U1266" i="4"/>
  <c r="V1266" i="4"/>
  <c r="U1265" i="4"/>
  <c r="V1265" i="4"/>
  <c r="V1264" i="4"/>
  <c r="V1263" i="4"/>
  <c r="U1262" i="4"/>
  <c r="V1262" i="4"/>
  <c r="U1261" i="4"/>
  <c r="V1261" i="4"/>
  <c r="U1260" i="4"/>
  <c r="V1260" i="4"/>
  <c r="V1259" i="4"/>
  <c r="U1258" i="4"/>
  <c r="V1258" i="4"/>
  <c r="V1257" i="4"/>
  <c r="U1256" i="4"/>
  <c r="V1256" i="4"/>
  <c r="U1255" i="4"/>
  <c r="V1255" i="4"/>
  <c r="V1254" i="4"/>
  <c r="V1253" i="4"/>
  <c r="U1252" i="4"/>
  <c r="V1252" i="4"/>
  <c r="U1251" i="4"/>
  <c r="V1251" i="4"/>
  <c r="V1250" i="4"/>
  <c r="V1249" i="4"/>
  <c r="V1248" i="4"/>
  <c r="V1247" i="4"/>
  <c r="V1246" i="4"/>
  <c r="V1245" i="4"/>
  <c r="U1244" i="4"/>
  <c r="V1244" i="4"/>
  <c r="V1243" i="4"/>
  <c r="U1242" i="4"/>
  <c r="V1242" i="4"/>
  <c r="V1241" i="4"/>
  <c r="V1240" i="4"/>
  <c r="U1239" i="4"/>
  <c r="V1239" i="4"/>
  <c r="V1238" i="4"/>
  <c r="V1237" i="4"/>
  <c r="U1236" i="4"/>
  <c r="V1236" i="4"/>
  <c r="V1235" i="4"/>
  <c r="V1234" i="4"/>
  <c r="V1233" i="4"/>
  <c r="V1232" i="4"/>
  <c r="V1231" i="4"/>
  <c r="V1230" i="4"/>
  <c r="V1229" i="4"/>
  <c r="V1228" i="4"/>
  <c r="V1227" i="4"/>
  <c r="U1226" i="4"/>
  <c r="V1226" i="4"/>
  <c r="V1225" i="4"/>
  <c r="V1224" i="4"/>
  <c r="V1223" i="4"/>
  <c r="V1222" i="4"/>
  <c r="U1221" i="4"/>
  <c r="V1221" i="4"/>
  <c r="V1220" i="4"/>
  <c r="V1219" i="4"/>
  <c r="V1218" i="4"/>
  <c r="V1217" i="4"/>
  <c r="V1216" i="4"/>
  <c r="V1215" i="4"/>
  <c r="V1214" i="4"/>
  <c r="V1213" i="4"/>
  <c r="V1212" i="4"/>
  <c r="V1211" i="4"/>
  <c r="V1210" i="4"/>
  <c r="V1209" i="4"/>
  <c r="V1208" i="4"/>
  <c r="V1207" i="4"/>
  <c r="V1206" i="4"/>
  <c r="V1205" i="4"/>
  <c r="V1204" i="4"/>
  <c r="V1203" i="4"/>
  <c r="V1202" i="4"/>
  <c r="V1201" i="4"/>
  <c r="V1200" i="4"/>
  <c r="V1199" i="4"/>
  <c r="V1198" i="4"/>
  <c r="V1197" i="4"/>
  <c r="V1196" i="4"/>
  <c r="V1195" i="4"/>
  <c r="V1194" i="4"/>
  <c r="V1193" i="4"/>
  <c r="V1192" i="4"/>
  <c r="V1191" i="4"/>
  <c r="V1190" i="4"/>
  <c r="V1189" i="4"/>
  <c r="U1188" i="4"/>
  <c r="V1188" i="4"/>
  <c r="V1187" i="4"/>
  <c r="U1186" i="4"/>
  <c r="V1186" i="4"/>
  <c r="V1185" i="4"/>
  <c r="V1184" i="4"/>
  <c r="V1183" i="4"/>
  <c r="V1182" i="4"/>
  <c r="V1181" i="4"/>
  <c r="V1180" i="4"/>
  <c r="V1179" i="4"/>
  <c r="V1178" i="4"/>
  <c r="V1177" i="4"/>
  <c r="V1176" i="4"/>
  <c r="U1175" i="4"/>
  <c r="V1175" i="4"/>
  <c r="U1174" i="4"/>
  <c r="V1174" i="4"/>
  <c r="U1173" i="4"/>
  <c r="V1173" i="4"/>
  <c r="U1172" i="4"/>
  <c r="V1172" i="4"/>
  <c r="U1171" i="4"/>
  <c r="V1171" i="4"/>
  <c r="U1170" i="4"/>
  <c r="V1170" i="4"/>
  <c r="U1169" i="4"/>
  <c r="V1169" i="4"/>
  <c r="U1168" i="4"/>
  <c r="V1168" i="4"/>
  <c r="U1167" i="4"/>
  <c r="V1167" i="4"/>
  <c r="U1166" i="4"/>
  <c r="V1166" i="4"/>
  <c r="U1165" i="4"/>
  <c r="V1165" i="4"/>
  <c r="U1164" i="4"/>
  <c r="V1164" i="4"/>
  <c r="U1163" i="4"/>
  <c r="V1163" i="4"/>
  <c r="U1162" i="4"/>
  <c r="V1162" i="4"/>
  <c r="U1161" i="4"/>
  <c r="V1161" i="4"/>
  <c r="U1160" i="4"/>
  <c r="V1160" i="4"/>
  <c r="U1159" i="4"/>
  <c r="V1159" i="4"/>
  <c r="U1158" i="4"/>
  <c r="V1158" i="4"/>
  <c r="U1157" i="4"/>
  <c r="V1157" i="4"/>
  <c r="U1156" i="4"/>
  <c r="V1156" i="4"/>
  <c r="U1155" i="4"/>
  <c r="V1155" i="4"/>
  <c r="U1154" i="4"/>
  <c r="V1154" i="4"/>
  <c r="U1153" i="4"/>
  <c r="V1153" i="4"/>
  <c r="U1152" i="4"/>
  <c r="V1152" i="4"/>
  <c r="U1151" i="4"/>
  <c r="V1151" i="4"/>
  <c r="V1150" i="4"/>
  <c r="U1149" i="4"/>
  <c r="V1149" i="4"/>
  <c r="U1148" i="4"/>
  <c r="V1148" i="4"/>
  <c r="U1147" i="4"/>
  <c r="V1147" i="4"/>
  <c r="U1146" i="4"/>
  <c r="V1146" i="4"/>
  <c r="V1145" i="4"/>
  <c r="V1144" i="4"/>
  <c r="U1143" i="4"/>
  <c r="V1143" i="4"/>
  <c r="U1142" i="4"/>
  <c r="V1142" i="4"/>
  <c r="U1141" i="4"/>
  <c r="V1141" i="4"/>
  <c r="U1140" i="4"/>
  <c r="V1140" i="4"/>
  <c r="U1139" i="4"/>
  <c r="V1139" i="4"/>
  <c r="V1138" i="4"/>
  <c r="U1137" i="4"/>
  <c r="V1137" i="4"/>
  <c r="U1136" i="4"/>
  <c r="V1136" i="4"/>
  <c r="V1135" i="4"/>
  <c r="V1134" i="4"/>
  <c r="U1133" i="4"/>
  <c r="V1133" i="4"/>
  <c r="U1132" i="4"/>
  <c r="V1132" i="4"/>
  <c r="V1131" i="4"/>
  <c r="V1130" i="4"/>
  <c r="V1129" i="4"/>
  <c r="V1128" i="4"/>
  <c r="V1127" i="4"/>
  <c r="U1126" i="4"/>
  <c r="V1126" i="4"/>
  <c r="U1125" i="4"/>
  <c r="V1125" i="4"/>
  <c r="V1124" i="4"/>
  <c r="U1123" i="4"/>
  <c r="V1123" i="4"/>
  <c r="V1122" i="4"/>
  <c r="V1121" i="4"/>
  <c r="U1120" i="4"/>
  <c r="V1120" i="4"/>
  <c r="V1119" i="4"/>
  <c r="V1118" i="4"/>
  <c r="U1117" i="4"/>
  <c r="V1117" i="4"/>
  <c r="V1116" i="4"/>
  <c r="V1115" i="4"/>
  <c r="V1114" i="4"/>
  <c r="V1113" i="4"/>
  <c r="V1112" i="4"/>
  <c r="V1111" i="4"/>
  <c r="V1110" i="4"/>
  <c r="V1109" i="4"/>
  <c r="V1108" i="4"/>
  <c r="U1107" i="4"/>
  <c r="V1107" i="4"/>
  <c r="V1106" i="4"/>
  <c r="V1105" i="4"/>
  <c r="V1104" i="4"/>
  <c r="V1103" i="4"/>
  <c r="U1102" i="4"/>
  <c r="V1102" i="4"/>
  <c r="V1101" i="4"/>
  <c r="V1100" i="4"/>
  <c r="V1099" i="4"/>
  <c r="V1098" i="4"/>
  <c r="V1097" i="4"/>
  <c r="V1096" i="4"/>
  <c r="V1095" i="4"/>
  <c r="V1094" i="4"/>
  <c r="V1093" i="4"/>
  <c r="V1092" i="4"/>
  <c r="V1091" i="4"/>
  <c r="V1090" i="4"/>
  <c r="V1089" i="4"/>
  <c r="V1088" i="4"/>
  <c r="V1087" i="4"/>
  <c r="V1086" i="4"/>
  <c r="V1085" i="4"/>
  <c r="V1084" i="4"/>
  <c r="V1083" i="4"/>
  <c r="V1082" i="4"/>
  <c r="V1081" i="4"/>
  <c r="V1080" i="4"/>
  <c r="V1079" i="4"/>
  <c r="V1078" i="4"/>
  <c r="V1077" i="4"/>
  <c r="V1076" i="4"/>
  <c r="V1075" i="4"/>
  <c r="V1074" i="4"/>
  <c r="V1073" i="4"/>
  <c r="V1072" i="4"/>
  <c r="V1071" i="4"/>
  <c r="V1070" i="4"/>
  <c r="U1069" i="4"/>
  <c r="V1069" i="4"/>
  <c r="V1068" i="4"/>
  <c r="U1067" i="4"/>
  <c r="V1067" i="4"/>
  <c r="V1066" i="4"/>
  <c r="V1065" i="4"/>
  <c r="V1064" i="4"/>
  <c r="U1063" i="4"/>
  <c r="V1063" i="4"/>
  <c r="V1062" i="4"/>
  <c r="V1061" i="4"/>
  <c r="V1060" i="4"/>
  <c r="V1059" i="4"/>
  <c r="V1058" i="4"/>
  <c r="V1057" i="4"/>
  <c r="U1056" i="4"/>
  <c r="V1056" i="4"/>
  <c r="U1055" i="4"/>
  <c r="V1055" i="4"/>
  <c r="U1054" i="4"/>
  <c r="V1054" i="4"/>
  <c r="U1053" i="4"/>
  <c r="V1053" i="4"/>
  <c r="U1052" i="4"/>
  <c r="V1052" i="4"/>
  <c r="U1051" i="4"/>
  <c r="V1051" i="4"/>
  <c r="U1050" i="4"/>
  <c r="V1050" i="4"/>
  <c r="U1049" i="4"/>
  <c r="V1049" i="4"/>
  <c r="U1048" i="4"/>
  <c r="V1048" i="4"/>
  <c r="U1047" i="4"/>
  <c r="V1047" i="4"/>
  <c r="U1046" i="4"/>
  <c r="V1046" i="4"/>
  <c r="U1045" i="4"/>
  <c r="V1045" i="4"/>
  <c r="U1044" i="4"/>
  <c r="V1044" i="4"/>
  <c r="U1043" i="4"/>
  <c r="V1043" i="4"/>
  <c r="U1042" i="4"/>
  <c r="V1042" i="4"/>
  <c r="U1041" i="4"/>
  <c r="V1041" i="4"/>
  <c r="U1040" i="4"/>
  <c r="V1040" i="4"/>
  <c r="U1039" i="4"/>
  <c r="V1039" i="4"/>
  <c r="U1038" i="4"/>
  <c r="V1038" i="4"/>
  <c r="U1037" i="4"/>
  <c r="V1037" i="4"/>
  <c r="U1036" i="4"/>
  <c r="V1036" i="4"/>
  <c r="U1035" i="4"/>
  <c r="V1035" i="4"/>
  <c r="U1034" i="4"/>
  <c r="V1034" i="4"/>
  <c r="U1033" i="4"/>
  <c r="V1033" i="4"/>
  <c r="V1032" i="4"/>
  <c r="V1031" i="4"/>
  <c r="U1030" i="4"/>
  <c r="V1030" i="4"/>
  <c r="U1029" i="4"/>
  <c r="V1029" i="4"/>
  <c r="U1028" i="4"/>
  <c r="V1028" i="4"/>
  <c r="U1027" i="4"/>
  <c r="V1027" i="4"/>
  <c r="U1026" i="4"/>
  <c r="V1026" i="4"/>
  <c r="V1025" i="4"/>
  <c r="U1024" i="4"/>
  <c r="V1024" i="4"/>
  <c r="U1023" i="4"/>
  <c r="V1023" i="4"/>
  <c r="V1022" i="4"/>
  <c r="V1021" i="4"/>
  <c r="U1020" i="4"/>
  <c r="V1020" i="4"/>
  <c r="U1019" i="4"/>
  <c r="V1019" i="4"/>
  <c r="V1018" i="4"/>
  <c r="V1017" i="4"/>
  <c r="V1016" i="4"/>
  <c r="V1015" i="4"/>
  <c r="V1014" i="4"/>
  <c r="U1013" i="4"/>
  <c r="V1013" i="4"/>
  <c r="U1012" i="4"/>
  <c r="V1012" i="4"/>
  <c r="V1011" i="4"/>
  <c r="U1010" i="4"/>
  <c r="V1010" i="4"/>
  <c r="V1009" i="4"/>
  <c r="V1008" i="4"/>
  <c r="U1007" i="4"/>
  <c r="V1007" i="4"/>
  <c r="V1006" i="4"/>
  <c r="V1005" i="4"/>
  <c r="U1004" i="4"/>
  <c r="V1004" i="4"/>
  <c r="V1003" i="4"/>
  <c r="V1002" i="4"/>
  <c r="V1001" i="4"/>
  <c r="V1000" i="4"/>
  <c r="V999" i="4"/>
  <c r="V998" i="4"/>
  <c r="V997" i="4"/>
  <c r="V996" i="4"/>
  <c r="V995" i="4"/>
  <c r="U994" i="4"/>
  <c r="V994" i="4"/>
  <c r="V993" i="4"/>
  <c r="V992" i="4"/>
  <c r="V991" i="4"/>
  <c r="V990" i="4"/>
  <c r="U989" i="4"/>
  <c r="V989" i="4"/>
  <c r="V988" i="4"/>
  <c r="V987" i="4"/>
  <c r="V986" i="4"/>
  <c r="V985" i="4"/>
  <c r="V984" i="4"/>
  <c r="V983" i="4"/>
  <c r="V982" i="4"/>
  <c r="V981" i="4"/>
  <c r="V980" i="4"/>
  <c r="V979" i="4"/>
  <c r="V978" i="4"/>
  <c r="V977" i="4"/>
  <c r="V976" i="4"/>
  <c r="V975" i="4"/>
  <c r="V974" i="4"/>
  <c r="V973" i="4"/>
  <c r="V972" i="4"/>
  <c r="V971" i="4"/>
  <c r="V970" i="4"/>
  <c r="V969" i="4"/>
  <c r="V968" i="4"/>
  <c r="V967" i="4"/>
  <c r="V966" i="4"/>
  <c r="V965" i="4"/>
  <c r="V964" i="4"/>
  <c r="V963" i="4"/>
  <c r="V962" i="4"/>
  <c r="V961" i="4"/>
  <c r="V960" i="4"/>
  <c r="V959" i="4"/>
  <c r="V958" i="4"/>
  <c r="V957" i="4"/>
  <c r="U956" i="4"/>
  <c r="V956" i="4"/>
  <c r="V955" i="4"/>
  <c r="U954" i="4"/>
  <c r="V954" i="4"/>
  <c r="V953" i="4"/>
  <c r="V952" i="4"/>
  <c r="V951" i="4"/>
  <c r="U950" i="4"/>
  <c r="V950" i="4"/>
  <c r="V949" i="4"/>
  <c r="V948" i="4"/>
  <c r="V947" i="4"/>
  <c r="U946" i="4"/>
  <c r="V946" i="4"/>
  <c r="U945" i="4"/>
  <c r="V945" i="4"/>
  <c r="V944" i="4"/>
  <c r="U943" i="4"/>
  <c r="V943" i="4"/>
  <c r="U942" i="4"/>
  <c r="V942" i="4"/>
  <c r="U941" i="4"/>
  <c r="V941" i="4"/>
  <c r="U940" i="4"/>
  <c r="V940" i="4"/>
  <c r="U939" i="4"/>
  <c r="V939" i="4"/>
  <c r="U938" i="4"/>
  <c r="V938" i="4"/>
  <c r="U937" i="4"/>
  <c r="V937" i="4"/>
  <c r="U936" i="4"/>
  <c r="V936" i="4"/>
  <c r="U935" i="4"/>
  <c r="V935" i="4"/>
  <c r="U934" i="4"/>
  <c r="V934" i="4"/>
  <c r="V933" i="4"/>
  <c r="U932" i="4"/>
  <c r="V932" i="4"/>
  <c r="U931" i="4"/>
  <c r="V931" i="4"/>
  <c r="U930" i="4"/>
  <c r="V930" i="4"/>
  <c r="V929" i="4"/>
  <c r="U928" i="4"/>
  <c r="V928" i="4"/>
  <c r="U927" i="4"/>
  <c r="V927" i="4"/>
  <c r="U926" i="4"/>
  <c r="V926" i="4"/>
  <c r="V925" i="4"/>
  <c r="U924" i="4"/>
  <c r="V924" i="4"/>
  <c r="U923" i="4"/>
  <c r="V923" i="4"/>
  <c r="V922" i="4"/>
  <c r="U921" i="4"/>
  <c r="V921" i="4"/>
  <c r="U920" i="4"/>
  <c r="V920" i="4"/>
  <c r="U919" i="4"/>
  <c r="V919" i="4"/>
  <c r="U918" i="4"/>
  <c r="V918" i="4"/>
  <c r="U917" i="4"/>
  <c r="V917" i="4"/>
  <c r="U916" i="4"/>
  <c r="V916" i="4"/>
  <c r="U915" i="4"/>
  <c r="V915" i="4"/>
  <c r="U914" i="4"/>
  <c r="V914" i="4"/>
  <c r="U913" i="4"/>
  <c r="V913" i="4"/>
  <c r="V912" i="4"/>
  <c r="V911" i="4"/>
  <c r="U910" i="4"/>
  <c r="V910" i="4"/>
  <c r="U909" i="4"/>
  <c r="V909" i="4"/>
  <c r="V908" i="4"/>
  <c r="V907" i="4"/>
  <c r="U906" i="4"/>
  <c r="V906" i="4"/>
  <c r="V905" i="4"/>
  <c r="U904" i="4"/>
  <c r="V904" i="4"/>
  <c r="U903" i="4"/>
  <c r="V903" i="4"/>
  <c r="U902" i="4"/>
  <c r="V902" i="4"/>
  <c r="V901" i="4"/>
  <c r="U900" i="4"/>
  <c r="V900" i="4"/>
  <c r="V899" i="4"/>
  <c r="V898" i="4"/>
  <c r="U897" i="4"/>
  <c r="V897" i="4"/>
  <c r="V896" i="4"/>
  <c r="V895" i="4"/>
  <c r="U894" i="4"/>
  <c r="V894" i="4"/>
  <c r="V893" i="4"/>
  <c r="V892" i="4"/>
  <c r="V891" i="4"/>
  <c r="V890" i="4"/>
  <c r="V889" i="4"/>
  <c r="V888" i="4"/>
  <c r="V887" i="4"/>
  <c r="V886" i="4"/>
  <c r="V885" i="4"/>
  <c r="U884" i="4"/>
  <c r="V884" i="4"/>
  <c r="V883" i="4"/>
  <c r="V882" i="4"/>
  <c r="V881" i="4"/>
  <c r="V880" i="4"/>
  <c r="U879" i="4"/>
  <c r="V879" i="4"/>
  <c r="V878" i="4"/>
  <c r="V877" i="4"/>
  <c r="V876" i="4"/>
  <c r="V875" i="4"/>
  <c r="V874" i="4"/>
  <c r="V873" i="4"/>
  <c r="V872" i="4"/>
  <c r="V871" i="4"/>
  <c r="V870" i="4"/>
  <c r="V869" i="4"/>
  <c r="V868" i="4"/>
  <c r="V867" i="4"/>
  <c r="V866" i="4"/>
  <c r="V865" i="4"/>
  <c r="V864" i="4"/>
  <c r="V863" i="4"/>
  <c r="V862" i="4"/>
  <c r="V861" i="4"/>
  <c r="V860" i="4"/>
  <c r="V859" i="4"/>
  <c r="V858" i="4"/>
  <c r="V857" i="4"/>
  <c r="V856" i="4"/>
  <c r="V855" i="4"/>
  <c r="V854" i="4"/>
  <c r="V853" i="4"/>
  <c r="V852" i="4"/>
  <c r="V851" i="4"/>
  <c r="V850" i="4"/>
  <c r="V849" i="4"/>
  <c r="V848" i="4"/>
  <c r="V847" i="4"/>
  <c r="U846" i="4"/>
  <c r="V846" i="4"/>
  <c r="V845" i="4"/>
  <c r="U844" i="4"/>
  <c r="V844" i="4"/>
  <c r="V843" i="4"/>
  <c r="V842" i="4"/>
  <c r="V841" i="4"/>
  <c r="U840" i="4"/>
  <c r="V840" i="4"/>
  <c r="U839" i="4"/>
  <c r="V839" i="4"/>
  <c r="V838" i="4"/>
  <c r="U837" i="4"/>
  <c r="V837" i="4"/>
  <c r="V836" i="4"/>
  <c r="V835" i="4"/>
  <c r="U834" i="4"/>
  <c r="V834" i="4"/>
  <c r="V833" i="4"/>
  <c r="V832" i="4"/>
  <c r="V831" i="4"/>
  <c r="V830" i="4"/>
  <c r="V829" i="4"/>
  <c r="U828" i="4"/>
  <c r="V828" i="4"/>
  <c r="U827" i="4"/>
  <c r="V827" i="4"/>
  <c r="U826" i="4"/>
  <c r="V826" i="4"/>
  <c r="U825" i="4"/>
  <c r="V825" i="4"/>
  <c r="U824" i="4"/>
  <c r="V824" i="4"/>
  <c r="U823" i="4"/>
  <c r="V823" i="4"/>
  <c r="U822" i="4"/>
  <c r="V822" i="4"/>
  <c r="V821" i="4"/>
  <c r="V820" i="4"/>
  <c r="U819" i="4"/>
  <c r="V819" i="4"/>
  <c r="U818" i="4"/>
  <c r="V818" i="4"/>
  <c r="U817" i="4"/>
  <c r="V817" i="4"/>
  <c r="V816" i="4"/>
  <c r="U815" i="4"/>
  <c r="V815" i="4"/>
  <c r="U814" i="4"/>
  <c r="V814" i="4"/>
  <c r="V813" i="4"/>
  <c r="U812" i="4"/>
  <c r="V812" i="4"/>
  <c r="U811" i="4"/>
  <c r="V811" i="4"/>
  <c r="U810" i="4"/>
  <c r="V810" i="4"/>
  <c r="U809" i="4"/>
  <c r="V809" i="4"/>
  <c r="U808" i="4"/>
  <c r="V808" i="4"/>
  <c r="U807" i="4"/>
  <c r="V807" i="4"/>
  <c r="U806" i="4"/>
  <c r="V806" i="4"/>
  <c r="U805" i="4"/>
  <c r="V805" i="4"/>
  <c r="U804" i="4"/>
  <c r="V804" i="4"/>
  <c r="V803" i="4"/>
  <c r="V802" i="4"/>
  <c r="U801" i="4"/>
  <c r="V801" i="4"/>
  <c r="U800" i="4"/>
  <c r="V800" i="4"/>
  <c r="V799" i="4"/>
  <c r="V798" i="4"/>
  <c r="U797" i="4"/>
  <c r="V797" i="4"/>
  <c r="V796" i="4"/>
  <c r="U795" i="4"/>
  <c r="V795" i="4"/>
  <c r="U794" i="4"/>
  <c r="V794" i="4"/>
  <c r="U793" i="4"/>
  <c r="V793" i="4"/>
  <c r="V792" i="4"/>
  <c r="U791" i="4"/>
  <c r="V791" i="4"/>
  <c r="V790" i="4"/>
  <c r="V789" i="4"/>
  <c r="U788" i="4"/>
  <c r="V788" i="4"/>
  <c r="V787" i="4"/>
  <c r="V786" i="4"/>
  <c r="U785" i="4"/>
  <c r="V785" i="4"/>
  <c r="V784" i="4"/>
  <c r="V783" i="4"/>
  <c r="V782" i="4"/>
  <c r="V781" i="4"/>
  <c r="U780" i="4"/>
  <c r="V780" i="4"/>
  <c r="V779" i="4"/>
  <c r="V778" i="4"/>
  <c r="V777" i="4"/>
  <c r="V776" i="4"/>
  <c r="V775" i="4"/>
  <c r="U774" i="4"/>
  <c r="V774" i="4"/>
  <c r="V773" i="4"/>
  <c r="V772" i="4"/>
  <c r="V771" i="4"/>
  <c r="V770" i="4"/>
  <c r="U769" i="4"/>
  <c r="V769" i="4"/>
  <c r="V768" i="4"/>
  <c r="V767" i="4"/>
  <c r="V766" i="4"/>
  <c r="V765" i="4"/>
  <c r="V764" i="4"/>
  <c r="U763" i="4"/>
  <c r="V763" i="4"/>
  <c r="V762" i="4"/>
  <c r="V761" i="4"/>
  <c r="V760" i="4"/>
  <c r="V759" i="4"/>
  <c r="V758" i="4"/>
  <c r="V757" i="4"/>
  <c r="V756" i="4"/>
  <c r="V755" i="4"/>
  <c r="V754" i="4"/>
  <c r="V753" i="4"/>
  <c r="V752" i="4"/>
  <c r="V751" i="4"/>
  <c r="V750" i="4"/>
  <c r="V749" i="4"/>
  <c r="V748" i="4"/>
  <c r="V747" i="4"/>
  <c r="V746" i="4"/>
  <c r="V745" i="4"/>
  <c r="V744" i="4"/>
  <c r="V743" i="4"/>
  <c r="V742" i="4"/>
  <c r="V741" i="4"/>
  <c r="V740" i="4"/>
  <c r="V739" i="4"/>
  <c r="V738" i="4"/>
  <c r="V737" i="4"/>
  <c r="U736" i="4"/>
  <c r="V736" i="4"/>
  <c r="V735" i="4"/>
  <c r="U734" i="4"/>
  <c r="V734" i="4"/>
  <c r="V733" i="4"/>
  <c r="V732" i="4"/>
  <c r="V731" i="4"/>
  <c r="U730" i="4"/>
  <c r="V730" i="4"/>
  <c r="U729" i="4"/>
  <c r="V729" i="4"/>
  <c r="V728" i="4"/>
  <c r="V727" i="4"/>
  <c r="V726" i="4"/>
  <c r="V725" i="4"/>
  <c r="U724" i="4"/>
  <c r="V724" i="4"/>
  <c r="U723" i="4"/>
  <c r="V723" i="4"/>
  <c r="U722" i="4"/>
  <c r="V722" i="4"/>
  <c r="U721" i="4"/>
  <c r="V721" i="4"/>
  <c r="U720" i="4"/>
  <c r="V720" i="4"/>
  <c r="U719" i="4"/>
  <c r="V719" i="4"/>
  <c r="U718" i="4"/>
  <c r="V718" i="4"/>
  <c r="U717" i="4"/>
  <c r="V717" i="4"/>
  <c r="U716" i="4"/>
  <c r="V716" i="4"/>
  <c r="U715" i="4"/>
  <c r="V715" i="4"/>
  <c r="U714" i="4"/>
  <c r="V714" i="4"/>
  <c r="U713" i="4"/>
  <c r="V713" i="4"/>
  <c r="U712" i="4"/>
  <c r="V712" i="4"/>
  <c r="U711" i="4"/>
  <c r="V711" i="4"/>
  <c r="U710" i="4"/>
  <c r="V710" i="4"/>
  <c r="U709" i="4"/>
  <c r="V709" i="4"/>
  <c r="U708" i="4"/>
  <c r="V708" i="4"/>
  <c r="U707" i="4"/>
  <c r="V707" i="4"/>
  <c r="U706" i="4"/>
  <c r="V706" i="4"/>
  <c r="U704" i="4"/>
  <c r="V704" i="4"/>
  <c r="U703" i="4"/>
  <c r="V703" i="4"/>
  <c r="V702" i="4"/>
  <c r="V701" i="4"/>
  <c r="U700" i="4"/>
  <c r="V700" i="4"/>
  <c r="U699" i="4"/>
  <c r="V699" i="4"/>
  <c r="V698" i="4"/>
  <c r="V697" i="4"/>
  <c r="U696" i="4"/>
  <c r="V696" i="4"/>
  <c r="V695" i="4"/>
  <c r="U694" i="4"/>
  <c r="V694" i="4"/>
  <c r="U693" i="4"/>
  <c r="V693" i="4"/>
  <c r="U692" i="4"/>
  <c r="V692" i="4"/>
  <c r="V691" i="4"/>
  <c r="U690" i="4"/>
  <c r="V690" i="4"/>
  <c r="U689" i="4"/>
  <c r="V689" i="4"/>
  <c r="V688" i="4"/>
  <c r="U687" i="4"/>
  <c r="V687" i="4"/>
  <c r="V686" i="4"/>
  <c r="V685" i="4"/>
  <c r="U684" i="4"/>
  <c r="V684" i="4"/>
  <c r="U683" i="4"/>
  <c r="V683" i="4"/>
  <c r="V682" i="4"/>
  <c r="V681" i="4"/>
  <c r="U680" i="4"/>
  <c r="V680" i="4"/>
  <c r="V679" i="4"/>
  <c r="U678" i="4"/>
  <c r="V678" i="4"/>
  <c r="V677" i="4"/>
  <c r="U676" i="4"/>
  <c r="V676" i="4"/>
  <c r="V675" i="4"/>
  <c r="V674" i="4"/>
  <c r="V673" i="4"/>
  <c r="V672" i="4"/>
  <c r="V671" i="4"/>
  <c r="V670" i="4"/>
  <c r="U669" i="4"/>
  <c r="V669" i="4"/>
  <c r="V668" i="4"/>
  <c r="U667" i="4"/>
  <c r="V667" i="4"/>
  <c r="V666" i="4"/>
  <c r="U665" i="4"/>
  <c r="V665" i="4"/>
  <c r="U664" i="4"/>
  <c r="V664" i="4"/>
  <c r="V663" i="4"/>
  <c r="V662" i="4"/>
  <c r="V661" i="4"/>
  <c r="V660" i="4"/>
  <c r="V659" i="4"/>
  <c r="V658" i="4"/>
  <c r="V657" i="4"/>
  <c r="V656" i="4"/>
  <c r="V655" i="4"/>
  <c r="V654" i="4"/>
  <c r="U653" i="4"/>
  <c r="V653" i="4"/>
  <c r="U652" i="4"/>
  <c r="V652" i="4"/>
  <c r="U651" i="4"/>
  <c r="V651" i="4"/>
  <c r="U650" i="4"/>
  <c r="V650" i="4"/>
  <c r="U649" i="4"/>
  <c r="V649" i="4"/>
  <c r="U648" i="4"/>
  <c r="V648" i="4"/>
  <c r="U647" i="4"/>
  <c r="V647" i="4"/>
  <c r="U646" i="4"/>
  <c r="V646" i="4"/>
  <c r="U645" i="4"/>
  <c r="V645" i="4"/>
  <c r="U644" i="4"/>
  <c r="V644" i="4"/>
  <c r="U643" i="4"/>
  <c r="V643" i="4"/>
  <c r="U642" i="4"/>
  <c r="V642" i="4"/>
  <c r="U641" i="4"/>
  <c r="V641" i="4"/>
  <c r="U640" i="4"/>
  <c r="V640" i="4"/>
  <c r="U639" i="4"/>
  <c r="V639" i="4"/>
  <c r="U638" i="4"/>
  <c r="V638" i="4"/>
  <c r="U637" i="4"/>
  <c r="V637" i="4"/>
  <c r="U636" i="4"/>
  <c r="V636" i="4"/>
  <c r="U635" i="4"/>
  <c r="V635" i="4"/>
  <c r="U634" i="4"/>
  <c r="V634" i="4"/>
  <c r="U633" i="4"/>
  <c r="V633" i="4"/>
  <c r="U632" i="4"/>
  <c r="V632" i="4"/>
  <c r="U631" i="4"/>
  <c r="V631" i="4"/>
  <c r="U630" i="4"/>
  <c r="V630" i="4"/>
  <c r="U629" i="4"/>
  <c r="V629" i="4"/>
  <c r="V628" i="4"/>
  <c r="V627" i="4"/>
  <c r="U626" i="4"/>
  <c r="V626" i="4"/>
  <c r="U625" i="4"/>
  <c r="V625" i="4"/>
  <c r="V624" i="4"/>
  <c r="V623" i="4"/>
  <c r="U622" i="4"/>
  <c r="V622" i="4"/>
  <c r="U621" i="4"/>
  <c r="V621" i="4"/>
  <c r="V620" i="4"/>
  <c r="U619" i="4"/>
  <c r="V619" i="4"/>
  <c r="U618" i="4"/>
  <c r="V618" i="4"/>
  <c r="V617" i="4"/>
  <c r="V616" i="4"/>
  <c r="U615" i="4"/>
  <c r="V615" i="4"/>
  <c r="U614" i="4"/>
  <c r="V614" i="4"/>
  <c r="U613" i="4"/>
  <c r="V613" i="4"/>
  <c r="V612" i="4"/>
  <c r="V611" i="4"/>
  <c r="V610" i="4"/>
  <c r="U609" i="4"/>
  <c r="V609" i="4"/>
  <c r="V608" i="4"/>
  <c r="V607" i="4"/>
  <c r="U606" i="4"/>
  <c r="V606" i="4"/>
  <c r="V605" i="4"/>
  <c r="V604" i="4"/>
  <c r="V603" i="4"/>
  <c r="V602" i="4"/>
  <c r="U601" i="4"/>
  <c r="V601" i="4"/>
  <c r="V600" i="4"/>
  <c r="U599" i="4"/>
  <c r="V599" i="4"/>
  <c r="U598" i="4"/>
  <c r="V598" i="4"/>
  <c r="U597" i="4"/>
  <c r="V597" i="4"/>
  <c r="V596" i="4"/>
  <c r="V595" i="4"/>
  <c r="V594" i="4"/>
  <c r="V593" i="4"/>
  <c r="V592" i="4"/>
  <c r="V591" i="4"/>
  <c r="V590" i="4"/>
  <c r="V589" i="4"/>
  <c r="V588" i="4"/>
  <c r="V587" i="4"/>
  <c r="V586" i="4"/>
  <c r="V585" i="4"/>
  <c r="U584" i="4"/>
  <c r="V584" i="4"/>
  <c r="U583" i="4"/>
  <c r="V583" i="4"/>
  <c r="U582" i="4"/>
  <c r="V582" i="4"/>
  <c r="U581" i="4"/>
  <c r="V581" i="4"/>
  <c r="U580" i="4"/>
  <c r="V580" i="4"/>
  <c r="U579" i="4"/>
  <c r="V579" i="4"/>
  <c r="U578" i="4"/>
  <c r="V578" i="4"/>
  <c r="U577" i="4"/>
  <c r="V577" i="4"/>
  <c r="U576" i="4"/>
  <c r="V576" i="4"/>
  <c r="U575" i="4"/>
  <c r="V575" i="4"/>
  <c r="U574" i="4"/>
  <c r="V574" i="4"/>
  <c r="U573" i="4"/>
  <c r="V573" i="4"/>
  <c r="U572" i="4"/>
  <c r="V572" i="4"/>
  <c r="U571" i="4"/>
  <c r="V571" i="4"/>
  <c r="U570" i="4"/>
  <c r="V570" i="4"/>
  <c r="U569" i="4"/>
  <c r="V569" i="4"/>
  <c r="U568" i="4"/>
  <c r="V568" i="4"/>
  <c r="U567" i="4"/>
  <c r="V567" i="4"/>
  <c r="U566" i="4"/>
  <c r="V566" i="4"/>
  <c r="U565" i="4"/>
  <c r="V565" i="4"/>
  <c r="U564" i="4"/>
  <c r="V564" i="4"/>
  <c r="U563" i="4"/>
  <c r="V563" i="4"/>
  <c r="U562" i="4"/>
  <c r="V562" i="4"/>
  <c r="U561" i="4"/>
  <c r="V561" i="4"/>
  <c r="U560" i="4"/>
  <c r="V560" i="4"/>
  <c r="U559" i="4"/>
  <c r="V559" i="4"/>
  <c r="U558" i="4"/>
  <c r="V558" i="4"/>
  <c r="U557" i="4"/>
  <c r="V557" i="4"/>
  <c r="U556" i="4"/>
  <c r="V556" i="4"/>
  <c r="V555" i="4"/>
  <c r="V554" i="4"/>
  <c r="V553" i="4"/>
  <c r="V552" i="4"/>
  <c r="U551" i="4"/>
  <c r="V551" i="4"/>
  <c r="U550" i="4"/>
  <c r="V550" i="4"/>
  <c r="U549" i="4"/>
  <c r="V549" i="4"/>
  <c r="V548" i="4"/>
  <c r="U547" i="4"/>
  <c r="V547" i="4"/>
  <c r="U546" i="4"/>
  <c r="V546" i="4"/>
  <c r="V545" i="4"/>
  <c r="U544" i="4"/>
  <c r="V544" i="4"/>
  <c r="U543" i="4"/>
  <c r="V543" i="4"/>
  <c r="V542" i="4"/>
  <c r="U541" i="4"/>
  <c r="V541" i="4"/>
  <c r="U540" i="4"/>
  <c r="V540" i="4"/>
  <c r="V539" i="4"/>
  <c r="V538" i="4"/>
  <c r="V537" i="4"/>
  <c r="U536" i="4"/>
  <c r="V536" i="4"/>
  <c r="V535" i="4"/>
  <c r="U534" i="4"/>
  <c r="V534" i="4"/>
  <c r="V532" i="4"/>
  <c r="U531" i="4"/>
  <c r="V531" i="4"/>
  <c r="U530" i="4"/>
  <c r="V530" i="4"/>
  <c r="V529" i="4"/>
  <c r="V528" i="4"/>
  <c r="V527" i="4"/>
  <c r="V526" i="4"/>
  <c r="V525" i="4"/>
  <c r="V524" i="4"/>
  <c r="V523" i="4"/>
  <c r="V522" i="4"/>
  <c r="V521" i="4"/>
  <c r="V520" i="4"/>
  <c r="V519" i="4"/>
  <c r="V518" i="4"/>
  <c r="V517" i="4"/>
  <c r="V516" i="4"/>
  <c r="U514" i="4"/>
  <c r="V514" i="4"/>
  <c r="U513" i="4"/>
  <c r="V513" i="4"/>
  <c r="V512" i="4"/>
  <c r="U511" i="4"/>
  <c r="V511" i="4"/>
  <c r="U510" i="4"/>
  <c r="V510" i="4"/>
  <c r="U509" i="4"/>
  <c r="V509" i="4"/>
  <c r="V508" i="4"/>
  <c r="U507" i="4"/>
  <c r="V507" i="4"/>
  <c r="U506" i="4"/>
  <c r="V506" i="4"/>
  <c r="U505" i="4"/>
  <c r="V505" i="4"/>
  <c r="U504" i="4"/>
  <c r="V504" i="4"/>
  <c r="U503" i="4"/>
  <c r="V503" i="4"/>
  <c r="V502" i="4"/>
  <c r="U501" i="4"/>
  <c r="V501" i="4"/>
  <c r="V500" i="4"/>
  <c r="U499" i="4"/>
  <c r="V499" i="4"/>
  <c r="V498" i="4"/>
  <c r="V497" i="4"/>
  <c r="U496" i="4"/>
  <c r="V496" i="4"/>
  <c r="U495" i="4"/>
  <c r="V495" i="4"/>
  <c r="U494" i="4"/>
  <c r="V494" i="4"/>
  <c r="U493" i="4"/>
  <c r="V493" i="4"/>
  <c r="V492" i="4"/>
  <c r="U491" i="4"/>
  <c r="V491" i="4"/>
  <c r="V490" i="4"/>
  <c r="V489" i="4"/>
  <c r="U488" i="4"/>
  <c r="V488" i="4"/>
  <c r="V487" i="4"/>
  <c r="U486" i="4"/>
  <c r="V486" i="4"/>
  <c r="V485" i="4"/>
  <c r="U484" i="4"/>
  <c r="V484" i="4"/>
  <c r="V483" i="4"/>
  <c r="U482" i="4"/>
  <c r="V482" i="4"/>
  <c r="U481" i="4"/>
  <c r="V481" i="4"/>
  <c r="V480" i="4"/>
  <c r="U479" i="4"/>
  <c r="V479" i="4"/>
  <c r="U478" i="4"/>
  <c r="V478" i="4"/>
  <c r="V477" i="4"/>
  <c r="V476" i="4"/>
  <c r="V475" i="4"/>
  <c r="V474" i="4"/>
  <c r="V473" i="4"/>
  <c r="U472" i="4"/>
  <c r="V472" i="4"/>
  <c r="V471" i="4"/>
  <c r="U470" i="4"/>
  <c r="V470" i="4"/>
  <c r="V468" i="4"/>
  <c r="S467" i="4"/>
  <c r="U467" i="4"/>
  <c r="V467" i="4"/>
  <c r="U466" i="4"/>
  <c r="V466" i="4"/>
  <c r="V465" i="4"/>
  <c r="U464" i="4"/>
  <c r="V464" i="4"/>
  <c r="V463" i="4"/>
  <c r="V462" i="4"/>
  <c r="V461" i="4"/>
  <c r="V460" i="4"/>
  <c r="U459" i="4"/>
  <c r="V459" i="4"/>
  <c r="U458" i="4"/>
  <c r="V458" i="4"/>
  <c r="V457" i="4"/>
  <c r="U456" i="4"/>
  <c r="V456" i="4"/>
  <c r="U455" i="4"/>
  <c r="V455" i="4"/>
  <c r="V454" i="4"/>
  <c r="U453" i="4"/>
  <c r="V453" i="4"/>
  <c r="U452" i="4"/>
  <c r="V452" i="4"/>
  <c r="U451" i="4"/>
  <c r="V451" i="4"/>
  <c r="U450" i="4"/>
  <c r="V450" i="4"/>
  <c r="U449" i="4"/>
  <c r="V449" i="4"/>
  <c r="U448" i="4"/>
  <c r="V448" i="4"/>
  <c r="U447" i="4"/>
  <c r="V447" i="4"/>
  <c r="U446" i="4"/>
  <c r="V446" i="4"/>
  <c r="U445" i="4"/>
  <c r="V445" i="4"/>
  <c r="U444" i="4"/>
  <c r="V444" i="4"/>
  <c r="U443" i="4"/>
  <c r="V443" i="4"/>
  <c r="Q442" i="4"/>
  <c r="U442" i="4"/>
  <c r="V442" i="4"/>
  <c r="U441" i="4"/>
  <c r="V441" i="4"/>
  <c r="U440" i="4"/>
  <c r="V440" i="4"/>
  <c r="U439" i="4"/>
  <c r="V439" i="4"/>
  <c r="U438" i="4"/>
  <c r="V438" i="4"/>
  <c r="U437" i="4"/>
  <c r="V437" i="4"/>
  <c r="U436" i="4"/>
  <c r="V436" i="4"/>
  <c r="U435" i="4"/>
  <c r="V435" i="4"/>
  <c r="U434" i="4"/>
  <c r="V434" i="4"/>
  <c r="U433" i="4"/>
  <c r="V433" i="4"/>
  <c r="V432" i="4"/>
  <c r="U431" i="4"/>
  <c r="V431" i="4"/>
  <c r="V430" i="4"/>
  <c r="V429" i="4"/>
  <c r="V428" i="4"/>
  <c r="V427" i="4"/>
  <c r="V426" i="4"/>
  <c r="U425" i="4"/>
  <c r="V425" i="4"/>
  <c r="V424" i="4"/>
  <c r="V423" i="4"/>
  <c r="V422" i="4"/>
  <c r="U421" i="4"/>
  <c r="V421" i="4"/>
  <c r="V420" i="4"/>
  <c r="V419" i="4"/>
  <c r="V418" i="4"/>
  <c r="V417" i="4"/>
  <c r="V416" i="4"/>
  <c r="V415" i="4"/>
  <c r="V414" i="4"/>
  <c r="V413" i="4"/>
  <c r="V412" i="4"/>
  <c r="V411" i="4"/>
  <c r="U410" i="4"/>
  <c r="V410" i="4"/>
  <c r="V409" i="4"/>
  <c r="V408" i="4"/>
  <c r="V407" i="4"/>
  <c r="U406" i="4"/>
  <c r="V406" i="4"/>
  <c r="V405" i="4"/>
  <c r="V404" i="4"/>
  <c r="U403" i="4"/>
  <c r="V403" i="4"/>
  <c r="V402" i="4"/>
  <c r="V401" i="4"/>
  <c r="V400" i="4"/>
  <c r="V399" i="4"/>
  <c r="V398" i="4"/>
  <c r="V397" i="4"/>
  <c r="V396" i="4"/>
  <c r="U395" i="4"/>
  <c r="V395" i="4"/>
  <c r="V394" i="4"/>
  <c r="U393" i="4"/>
  <c r="V393" i="4"/>
  <c r="V392" i="4"/>
  <c r="V391" i="4"/>
  <c r="V390" i="4"/>
  <c r="U389" i="4"/>
  <c r="V389" i="4"/>
  <c r="U388" i="4"/>
  <c r="V388" i="4"/>
  <c r="U387" i="4"/>
  <c r="V387" i="4"/>
  <c r="U386" i="4"/>
  <c r="V386" i="4"/>
  <c r="U385" i="4"/>
  <c r="V385" i="4"/>
  <c r="U384" i="4"/>
  <c r="V384" i="4"/>
  <c r="U383" i="4"/>
  <c r="V383" i="4"/>
  <c r="U382" i="4"/>
  <c r="V382" i="4"/>
  <c r="U381" i="4"/>
  <c r="V381" i="4"/>
  <c r="U380" i="4"/>
  <c r="V380" i="4"/>
  <c r="U379" i="4"/>
  <c r="V379" i="4"/>
  <c r="U378" i="4"/>
  <c r="V378" i="4"/>
  <c r="U377" i="4"/>
  <c r="V377" i="4"/>
  <c r="U376" i="4"/>
  <c r="V376" i="4"/>
  <c r="U375" i="4"/>
  <c r="V375" i="4"/>
  <c r="U374" i="4"/>
  <c r="V374" i="4"/>
  <c r="U373" i="4"/>
  <c r="V373" i="4"/>
  <c r="U372" i="4"/>
  <c r="V372" i="4"/>
  <c r="U371" i="4"/>
  <c r="V371" i="4"/>
  <c r="U370" i="4"/>
  <c r="V370" i="4"/>
  <c r="U369" i="4"/>
  <c r="V369" i="4"/>
  <c r="U368" i="4"/>
  <c r="V368" i="4"/>
  <c r="U367" i="4"/>
  <c r="V367" i="4"/>
  <c r="U366" i="4"/>
  <c r="V366" i="4"/>
  <c r="U365" i="4"/>
  <c r="V365" i="4"/>
  <c r="U364" i="4"/>
  <c r="V364" i="4"/>
  <c r="U363" i="4"/>
  <c r="V363" i="4"/>
  <c r="U362" i="4"/>
  <c r="V362" i="4"/>
  <c r="U361" i="4"/>
  <c r="V361" i="4"/>
  <c r="U360" i="4"/>
  <c r="V360" i="4"/>
  <c r="U359" i="4"/>
  <c r="V359" i="4"/>
  <c r="U358" i="4"/>
  <c r="V358" i="4"/>
  <c r="U357" i="4"/>
  <c r="V357" i="4"/>
  <c r="U356" i="4"/>
  <c r="V356" i="4"/>
  <c r="Q355" i="4"/>
  <c r="U355" i="4"/>
  <c r="V355" i="4"/>
  <c r="U354" i="4"/>
  <c r="V354" i="4"/>
  <c r="U353" i="4"/>
  <c r="V353" i="4"/>
  <c r="U352" i="4"/>
  <c r="V352" i="4"/>
  <c r="U351" i="4"/>
  <c r="V351" i="4"/>
  <c r="U350" i="4"/>
  <c r="V350" i="4"/>
  <c r="U349" i="4"/>
  <c r="V349" i="4"/>
  <c r="U348" i="4"/>
  <c r="V348" i="4"/>
  <c r="U347" i="4"/>
  <c r="V347" i="4"/>
  <c r="U346" i="4"/>
  <c r="V346" i="4"/>
  <c r="U345" i="4"/>
  <c r="V345" i="4"/>
  <c r="U344" i="4"/>
  <c r="V344" i="4"/>
  <c r="U343" i="4"/>
  <c r="V343" i="4"/>
  <c r="U342" i="4"/>
  <c r="V342" i="4"/>
  <c r="U341" i="4"/>
  <c r="V341" i="4"/>
  <c r="U340" i="4"/>
  <c r="V340" i="4"/>
  <c r="U339" i="4"/>
  <c r="V339" i="4"/>
  <c r="U338" i="4"/>
  <c r="V338" i="4"/>
  <c r="U337" i="4"/>
  <c r="V337" i="4"/>
  <c r="U336" i="4"/>
  <c r="V336" i="4"/>
  <c r="U335" i="4"/>
  <c r="V335" i="4"/>
  <c r="U334" i="4"/>
  <c r="V334" i="4"/>
  <c r="U333" i="4"/>
  <c r="V333" i="4"/>
  <c r="U332" i="4"/>
  <c r="V332" i="4"/>
  <c r="U331" i="4"/>
  <c r="V331" i="4"/>
  <c r="U330" i="4"/>
  <c r="V330" i="4"/>
  <c r="U329" i="4"/>
  <c r="V329" i="4"/>
  <c r="U328" i="4"/>
  <c r="V328" i="4"/>
  <c r="U327" i="4"/>
  <c r="V327" i="4"/>
  <c r="V326" i="4"/>
  <c r="V325" i="4"/>
  <c r="U324" i="4"/>
  <c r="V324" i="4"/>
  <c r="V323" i="4"/>
  <c r="U322" i="4"/>
  <c r="V322" i="4"/>
  <c r="V321" i="4"/>
  <c r="V320" i="4"/>
  <c r="V319" i="4"/>
  <c r="V318" i="4"/>
  <c r="V317" i="4"/>
  <c r="V316" i="4"/>
  <c r="V315" i="4"/>
  <c r="V314" i="4"/>
  <c r="U313" i="4"/>
  <c r="V313" i="4"/>
  <c r="U312" i="4"/>
  <c r="V312" i="4"/>
  <c r="U311" i="4"/>
  <c r="V311" i="4"/>
  <c r="U310" i="4"/>
  <c r="V310" i="4"/>
  <c r="U309" i="4"/>
  <c r="V309" i="4"/>
  <c r="U308" i="4"/>
  <c r="V308" i="4"/>
  <c r="U307" i="4"/>
  <c r="V307" i="4"/>
  <c r="U306" i="4"/>
  <c r="V306" i="4"/>
  <c r="U305" i="4"/>
  <c r="V305" i="4"/>
  <c r="U304" i="4"/>
  <c r="V304" i="4"/>
  <c r="U303" i="4"/>
  <c r="V303" i="4"/>
  <c r="V302" i="4"/>
  <c r="U301" i="4"/>
  <c r="V301" i="4"/>
  <c r="U300" i="4"/>
  <c r="V300" i="4"/>
  <c r="U299" i="4"/>
  <c r="V299" i="4"/>
  <c r="U298" i="4"/>
  <c r="V298" i="4"/>
  <c r="U297" i="4"/>
  <c r="V297" i="4"/>
  <c r="U296" i="4"/>
  <c r="V296" i="4"/>
  <c r="U295" i="4"/>
  <c r="V295" i="4"/>
  <c r="U294" i="4"/>
  <c r="V294" i="4"/>
  <c r="U293" i="4"/>
  <c r="V293" i="4"/>
  <c r="U292" i="4"/>
  <c r="V292" i="4"/>
  <c r="U291" i="4"/>
  <c r="V291" i="4"/>
  <c r="U290" i="4"/>
  <c r="V290" i="4"/>
  <c r="U289" i="4"/>
  <c r="V289" i="4"/>
  <c r="U288" i="4"/>
  <c r="V288" i="4"/>
  <c r="U287" i="4"/>
  <c r="V287" i="4"/>
  <c r="V286" i="4"/>
  <c r="U285" i="4"/>
  <c r="V285" i="4"/>
  <c r="V284" i="4"/>
  <c r="V283" i="4"/>
  <c r="V282" i="4"/>
  <c r="U281" i="4"/>
  <c r="V281" i="4"/>
  <c r="U280" i="4"/>
  <c r="V280" i="4"/>
  <c r="U279" i="4"/>
  <c r="V279" i="4"/>
  <c r="U278" i="4"/>
  <c r="V278" i="4"/>
  <c r="V277" i="4"/>
  <c r="U276" i="4"/>
  <c r="V276" i="4"/>
  <c r="V275" i="4"/>
  <c r="V274" i="4"/>
  <c r="U273" i="4"/>
  <c r="V273" i="4"/>
  <c r="U272" i="4"/>
  <c r="V272" i="4"/>
  <c r="V271" i="4"/>
  <c r="U270" i="4"/>
  <c r="V270" i="4"/>
  <c r="V269" i="4"/>
  <c r="U268" i="4"/>
  <c r="V268" i="4"/>
  <c r="V267" i="4"/>
  <c r="V266" i="4"/>
  <c r="U265" i="4"/>
  <c r="V265" i="4"/>
  <c r="U264" i="4"/>
  <c r="V264" i="4"/>
  <c r="U263" i="4"/>
  <c r="V263" i="4"/>
  <c r="V262" i="4"/>
  <c r="V261" i="4"/>
  <c r="V260" i="4"/>
  <c r="V259" i="4"/>
  <c r="V258" i="4"/>
  <c r="V257" i="4"/>
  <c r="V256" i="4"/>
  <c r="V255" i="4"/>
  <c r="V254" i="4"/>
  <c r="V253" i="4"/>
  <c r="V252" i="4"/>
  <c r="V251" i="4"/>
  <c r="V250" i="4"/>
  <c r="U249" i="4"/>
  <c r="V249" i="4"/>
  <c r="V248" i="4"/>
  <c r="V247" i="4"/>
  <c r="V246" i="4"/>
  <c r="V245" i="4"/>
  <c r="V244" i="4"/>
  <c r="V243" i="4"/>
  <c r="V242" i="4"/>
  <c r="V241" i="4"/>
  <c r="V240" i="4"/>
  <c r="U239" i="4"/>
  <c r="V239" i="4"/>
  <c r="U238" i="4"/>
  <c r="V238" i="4"/>
  <c r="V237" i="4"/>
  <c r="U236" i="4"/>
  <c r="V236" i="4"/>
  <c r="U235" i="4"/>
  <c r="V235" i="4"/>
  <c r="U234" i="4"/>
  <c r="V234" i="4"/>
  <c r="U233" i="4"/>
  <c r="V233" i="4"/>
  <c r="U232" i="4"/>
  <c r="V232" i="4"/>
  <c r="U231" i="4"/>
  <c r="V231" i="4"/>
  <c r="V230" i="4"/>
  <c r="U229" i="4"/>
  <c r="V229" i="4"/>
  <c r="V228" i="4"/>
  <c r="U227" i="4"/>
  <c r="V227" i="4"/>
  <c r="V226" i="4"/>
  <c r="U225" i="4"/>
  <c r="V225" i="4"/>
  <c r="V224" i="4"/>
  <c r="V223" i="4"/>
  <c r="V222" i="4"/>
  <c r="V221" i="4"/>
  <c r="V220" i="4"/>
  <c r="V219" i="4"/>
  <c r="U218" i="4"/>
  <c r="V218" i="4"/>
  <c r="V217" i="4"/>
  <c r="U216" i="4"/>
  <c r="V216" i="4"/>
  <c r="V215" i="4"/>
  <c r="U214" i="4"/>
  <c r="V214" i="4"/>
  <c r="V213" i="4"/>
  <c r="V212" i="4"/>
  <c r="U211" i="4"/>
  <c r="V211" i="4"/>
  <c r="U210" i="4"/>
  <c r="V210" i="4"/>
  <c r="V209" i="4"/>
  <c r="V208" i="4"/>
  <c r="V207" i="4"/>
  <c r="V206" i="4"/>
  <c r="V205" i="4"/>
  <c r="V204" i="4"/>
  <c r="V203" i="4"/>
  <c r="V202" i="4"/>
  <c r="V201" i="4"/>
  <c r="V200" i="4"/>
  <c r="U199" i="4"/>
  <c r="V199" i="4"/>
  <c r="V198" i="4"/>
  <c r="U197" i="4"/>
  <c r="V197" i="4"/>
  <c r="U196" i="4"/>
  <c r="V196" i="4"/>
  <c r="V195" i="4"/>
  <c r="U194" i="4"/>
  <c r="V194" i="4"/>
  <c r="U193" i="4"/>
  <c r="V193" i="4"/>
  <c r="V192" i="4"/>
  <c r="U191" i="4"/>
  <c r="V191" i="4"/>
  <c r="V190" i="4"/>
  <c r="V189" i="4"/>
  <c r="V188" i="4"/>
  <c r="V187" i="4"/>
  <c r="V186" i="4"/>
  <c r="U185" i="4"/>
  <c r="V185" i="4"/>
  <c r="V184" i="4"/>
  <c r="V183" i="4"/>
  <c r="V182" i="4"/>
  <c r="V181" i="4"/>
  <c r="V180" i="4"/>
  <c r="V179" i="4"/>
  <c r="U178" i="4"/>
  <c r="V178" i="4"/>
  <c r="U177"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U145" i="4"/>
  <c r="V145" i="4"/>
  <c r="V144" i="4"/>
  <c r="V143" i="4"/>
  <c r="V142" i="4"/>
  <c r="V141" i="4"/>
  <c r="V140" i="4"/>
  <c r="V139" i="4"/>
  <c r="V138" i="4"/>
  <c r="V137" i="4"/>
  <c r="V136" i="4"/>
  <c r="V135" i="4"/>
  <c r="V134" i="4"/>
  <c r="V133" i="4"/>
  <c r="V132" i="4"/>
  <c r="V131" i="4"/>
  <c r="V130" i="4"/>
  <c r="V129" i="4"/>
  <c r="U128" i="4"/>
  <c r="V128" i="4"/>
  <c r="V127" i="4"/>
  <c r="V126" i="4"/>
  <c r="V125" i="4"/>
  <c r="V124" i="4"/>
  <c r="V123" i="4"/>
  <c r="D72" i="1"/>
  <c r="U6" i="15"/>
  <c r="U5" i="15"/>
  <c r="U4" i="15"/>
  <c r="U3" i="15"/>
  <c r="C1" i="15"/>
  <c r="G1" i="15"/>
  <c r="F1" i="15"/>
  <c r="E1" i="15"/>
  <c r="D1" i="15"/>
  <c r="B1" i="15"/>
  <c r="T2" i="15"/>
  <c r="S2" i="15"/>
  <c r="R2" i="15"/>
  <c r="Q2" i="15"/>
  <c r="P2" i="15"/>
  <c r="O2" i="15"/>
  <c r="N2" i="15"/>
  <c r="M2" i="15"/>
  <c r="L2" i="15"/>
  <c r="K2" i="15"/>
  <c r="J2" i="15"/>
  <c r="I2" i="15"/>
  <c r="H2" i="15"/>
  <c r="G2" i="15"/>
  <c r="F2" i="15"/>
  <c r="E2" i="15"/>
  <c r="D2" i="15"/>
  <c r="C2" i="15"/>
  <c r="B2" i="15"/>
  <c r="T6" i="15"/>
  <c r="S6" i="15"/>
  <c r="R6" i="15"/>
  <c r="Q6" i="15"/>
  <c r="P6" i="15"/>
  <c r="O6" i="15"/>
  <c r="N6" i="15"/>
  <c r="M6" i="15"/>
  <c r="L6" i="15"/>
  <c r="K6" i="15"/>
  <c r="J6" i="15"/>
  <c r="I6" i="15"/>
  <c r="H6" i="15"/>
  <c r="G6" i="15"/>
  <c r="F6" i="15"/>
  <c r="E6" i="15"/>
  <c r="D6" i="15"/>
  <c r="C6" i="15"/>
  <c r="B6" i="15"/>
  <c r="A6" i="15"/>
  <c r="T5" i="15"/>
  <c r="S5" i="15"/>
  <c r="R5" i="15"/>
  <c r="Q5" i="15"/>
  <c r="P5" i="15"/>
  <c r="O5" i="15"/>
  <c r="N5" i="15"/>
  <c r="M5" i="15"/>
  <c r="L5" i="15"/>
  <c r="K5" i="15"/>
  <c r="J5" i="15"/>
  <c r="I5" i="15"/>
  <c r="H5" i="15"/>
  <c r="G5" i="15"/>
  <c r="F5" i="15"/>
  <c r="E5" i="15"/>
  <c r="D5" i="15"/>
  <c r="C5" i="15"/>
  <c r="B5" i="15"/>
  <c r="A5" i="15"/>
  <c r="T4" i="15"/>
  <c r="S4" i="15"/>
  <c r="R4" i="15"/>
  <c r="Q4" i="15"/>
  <c r="P4" i="15"/>
  <c r="O4" i="15"/>
  <c r="N4" i="15"/>
  <c r="M4" i="15"/>
  <c r="L4" i="15"/>
  <c r="K4" i="15"/>
  <c r="J4" i="15"/>
  <c r="I4" i="15"/>
  <c r="H4" i="15"/>
  <c r="G4" i="15"/>
  <c r="F4" i="15"/>
  <c r="E4" i="15"/>
  <c r="D4" i="15"/>
  <c r="C4" i="15"/>
  <c r="B4" i="15"/>
  <c r="A4" i="15"/>
  <c r="T3" i="15"/>
  <c r="S3" i="15"/>
  <c r="R3" i="15"/>
  <c r="Q3" i="15"/>
  <c r="P3" i="15"/>
  <c r="O3" i="15"/>
  <c r="N3" i="15"/>
  <c r="M3" i="15"/>
  <c r="L3" i="15"/>
  <c r="K3" i="15"/>
  <c r="J3" i="15"/>
  <c r="I3" i="15"/>
  <c r="H3" i="15"/>
  <c r="G3" i="15"/>
  <c r="F3" i="15"/>
  <c r="E3" i="15"/>
  <c r="D3" i="15"/>
  <c r="C3" i="15"/>
  <c r="B3" i="15"/>
  <c r="A3" i="15"/>
  <c r="AA1367" i="4"/>
  <c r="AA1366" i="4"/>
  <c r="AA1365" i="4"/>
  <c r="AA1364" i="4"/>
  <c r="AA1363" i="4"/>
  <c r="AA1362" i="4"/>
  <c r="AA1361" i="4"/>
  <c r="AA1360" i="4"/>
  <c r="AA1359" i="4"/>
  <c r="AA1358" i="4"/>
  <c r="AA1357" i="4"/>
  <c r="AA1356" i="4"/>
  <c r="AA1355" i="4"/>
  <c r="AA1354" i="4"/>
  <c r="AA1353" i="4"/>
  <c r="AA1352" i="4"/>
  <c r="AA1351" i="4"/>
  <c r="AA1350" i="4"/>
  <c r="AA1349" i="4"/>
  <c r="AA1348" i="4"/>
  <c r="AA1347" i="4"/>
  <c r="AA1346" i="4"/>
  <c r="AA1345" i="4"/>
  <c r="AA1344" i="4"/>
  <c r="AA1343" i="4"/>
  <c r="AA1342" i="4"/>
  <c r="AA1341" i="4"/>
  <c r="AA1340" i="4"/>
  <c r="AA1339" i="4"/>
  <c r="AA1338" i="4"/>
  <c r="AA1337" i="4"/>
  <c r="AA1336" i="4"/>
  <c r="Y1336" i="4"/>
  <c r="AA1335" i="4"/>
  <c r="AA1334" i="4"/>
  <c r="Y1334" i="4"/>
  <c r="AA1333" i="4"/>
  <c r="AA1332" i="4"/>
  <c r="AA1331" i="4"/>
  <c r="AA1330" i="4"/>
  <c r="AA1329" i="4"/>
  <c r="AA1328" i="4"/>
  <c r="AA1327" i="4"/>
  <c r="AA1326" i="4"/>
  <c r="AA1325" i="4"/>
  <c r="AA1324" i="4"/>
  <c r="AA1323" i="4"/>
  <c r="Y1323" i="4"/>
  <c r="AA1322" i="4"/>
  <c r="AA1321" i="4"/>
  <c r="Y1321" i="4"/>
  <c r="AA1320" i="4"/>
  <c r="AA1319" i="4"/>
  <c r="Y1319" i="4"/>
  <c r="AA1318" i="4"/>
  <c r="AA1317" i="4"/>
  <c r="AA1316" i="4"/>
  <c r="Y1316" i="4"/>
  <c r="AA1315" i="4"/>
  <c r="Y1315" i="4"/>
  <c r="AA1314" i="4"/>
  <c r="Y1314" i="4"/>
  <c r="AA1313" i="4"/>
  <c r="Y1313" i="4"/>
  <c r="AA1312" i="4"/>
  <c r="Y1312" i="4"/>
  <c r="AA1311" i="4"/>
  <c r="Y1311" i="4"/>
  <c r="AA1310" i="4"/>
  <c r="Y1310" i="4"/>
  <c r="AA1309" i="4"/>
  <c r="Y1309" i="4"/>
  <c r="AA1308" i="4"/>
  <c r="Y1308" i="4"/>
  <c r="AA1307" i="4"/>
  <c r="Y1307" i="4"/>
  <c r="AA1306" i="4"/>
  <c r="Y1306" i="4"/>
  <c r="AA1305" i="4"/>
  <c r="AA1304" i="4"/>
  <c r="Y1304" i="4"/>
  <c r="AA1303" i="4"/>
  <c r="Y1303" i="4"/>
  <c r="AA1302" i="4"/>
  <c r="Y1302" i="4"/>
  <c r="AA1301" i="4"/>
  <c r="Y1301" i="4"/>
  <c r="AA1300" i="4"/>
  <c r="Y1300" i="4"/>
  <c r="AA1299" i="4"/>
  <c r="AA1298" i="4"/>
  <c r="AA1297" i="4"/>
  <c r="AA1296" i="4"/>
  <c r="AA1295" i="4"/>
  <c r="AA1294" i="4"/>
  <c r="AA1293" i="4"/>
  <c r="AA1292" i="4"/>
  <c r="AA1291" i="4"/>
  <c r="AA1290" i="4"/>
  <c r="AA1289" i="4"/>
  <c r="AA1288" i="4"/>
  <c r="AA1287" i="4"/>
  <c r="AA1286" i="4"/>
  <c r="AA1285" i="4"/>
  <c r="AA1284" i="4"/>
  <c r="AA1283" i="4"/>
  <c r="AA1282" i="4"/>
  <c r="AA1281" i="4"/>
  <c r="AA1280" i="4"/>
  <c r="AA1279" i="4"/>
  <c r="AA1278" i="4"/>
  <c r="AA1277" i="4"/>
  <c r="AA1276" i="4"/>
  <c r="AA1275" i="4"/>
  <c r="AA1274" i="4"/>
  <c r="AA1273" i="4"/>
  <c r="AA1272" i="4"/>
  <c r="Y1272" i="4"/>
  <c r="AA1271" i="4"/>
  <c r="AA1270" i="4"/>
  <c r="Y1270" i="4"/>
  <c r="AA1269" i="4"/>
  <c r="Y1269" i="4"/>
  <c r="AA1268" i="4"/>
  <c r="AA1267" i="4"/>
  <c r="Y1267" i="4"/>
  <c r="AA1266" i="4"/>
  <c r="AA1265" i="4"/>
  <c r="AA1264" i="4"/>
  <c r="Y1264" i="4"/>
  <c r="AA1263" i="4"/>
  <c r="Y1263" i="4"/>
  <c r="AA1262" i="4"/>
  <c r="AA1261" i="4"/>
  <c r="AA1260" i="4"/>
  <c r="AA1259" i="4"/>
  <c r="Y1259" i="4"/>
  <c r="AA1258" i="4"/>
  <c r="AA1257" i="4"/>
  <c r="Y1257" i="4"/>
  <c r="AA1256" i="4"/>
  <c r="AA1255" i="4"/>
  <c r="AA1254" i="4"/>
  <c r="Y1254" i="4"/>
  <c r="AA1253" i="4"/>
  <c r="Y1253" i="4"/>
  <c r="AA1252" i="4"/>
  <c r="AA1251" i="4"/>
  <c r="AA1250" i="4"/>
  <c r="Y1250" i="4"/>
  <c r="AA1249" i="4"/>
  <c r="Y1249" i="4"/>
  <c r="AA1248" i="4"/>
  <c r="Y1248" i="4"/>
  <c r="AA1247" i="4"/>
  <c r="Y1247" i="4"/>
  <c r="AA1246" i="4"/>
  <c r="Y1246" i="4"/>
  <c r="AA1245" i="4"/>
  <c r="Y1245" i="4"/>
  <c r="AA1244" i="4"/>
  <c r="AA1243" i="4"/>
  <c r="Y1243" i="4"/>
  <c r="AA1242" i="4"/>
  <c r="AA1241" i="4"/>
  <c r="Y1241" i="4"/>
  <c r="AA1240" i="4"/>
  <c r="Y1240" i="4"/>
  <c r="AA1239" i="4"/>
  <c r="AA1238" i="4"/>
  <c r="Y1238" i="4"/>
  <c r="AA1237" i="4"/>
  <c r="Y1237" i="4"/>
  <c r="AA1236" i="4"/>
  <c r="AA1235" i="4"/>
  <c r="Y1235" i="4"/>
  <c r="AA1234" i="4"/>
  <c r="Y1234" i="4"/>
  <c r="AA1233" i="4"/>
  <c r="Y1233" i="4"/>
  <c r="AA1232" i="4"/>
  <c r="Y1232" i="4"/>
  <c r="AA1231" i="4"/>
  <c r="Y1231" i="4"/>
  <c r="AA1230" i="4"/>
  <c r="Y1230" i="4"/>
  <c r="AA1229" i="4"/>
  <c r="Y1229" i="4"/>
  <c r="AA1228" i="4"/>
  <c r="Y1228" i="4"/>
  <c r="AA1227" i="4"/>
  <c r="Y1227" i="4"/>
  <c r="AA1226" i="4"/>
  <c r="AA1225" i="4"/>
  <c r="Y1225" i="4"/>
  <c r="AA1224" i="4"/>
  <c r="Y1224" i="4"/>
  <c r="AA1223" i="4"/>
  <c r="Y1223" i="4"/>
  <c r="AA1222" i="4"/>
  <c r="Y1222" i="4"/>
  <c r="AA1221" i="4"/>
  <c r="AA1220" i="4"/>
  <c r="Y1220" i="4"/>
  <c r="AA1219" i="4"/>
  <c r="Y1219" i="4"/>
  <c r="AA1218" i="4"/>
  <c r="Y1218" i="4"/>
  <c r="AA1217" i="4"/>
  <c r="Y1217" i="4"/>
  <c r="AA1216" i="4"/>
  <c r="Y1216" i="4"/>
  <c r="AA1215" i="4"/>
  <c r="Y1215" i="4"/>
  <c r="AA1214" i="4"/>
  <c r="Y1214" i="4"/>
  <c r="AA1213" i="4"/>
  <c r="Y1213" i="4"/>
  <c r="AA1212" i="4"/>
  <c r="Y1212" i="4"/>
  <c r="AA1211" i="4"/>
  <c r="Y1211" i="4"/>
  <c r="AA1210" i="4"/>
  <c r="Y1210" i="4"/>
  <c r="AA1209" i="4"/>
  <c r="Y1209" i="4"/>
  <c r="AA1208" i="4"/>
  <c r="Y1208" i="4"/>
  <c r="AA1207" i="4"/>
  <c r="Y1207" i="4"/>
  <c r="AA1206" i="4"/>
  <c r="Y1206" i="4"/>
  <c r="AA1205" i="4"/>
  <c r="Y1205" i="4"/>
  <c r="AA1204" i="4"/>
  <c r="Y1204" i="4"/>
  <c r="AA1203" i="4"/>
  <c r="Y1203" i="4"/>
  <c r="AA1202" i="4"/>
  <c r="Y1202" i="4"/>
  <c r="AA1201" i="4"/>
  <c r="Y1201" i="4"/>
  <c r="AA1200" i="4"/>
  <c r="Y1200" i="4"/>
  <c r="AA1199" i="4"/>
  <c r="Y1199" i="4"/>
  <c r="AA1198" i="4"/>
  <c r="Y1198" i="4"/>
  <c r="AA1197" i="4"/>
  <c r="Y1197" i="4"/>
  <c r="AA1196" i="4"/>
  <c r="Y1196" i="4"/>
  <c r="AA1195" i="4"/>
  <c r="Y1195" i="4"/>
  <c r="AA1194" i="4"/>
  <c r="Y1194" i="4"/>
  <c r="AA1193" i="4"/>
  <c r="Y1193" i="4"/>
  <c r="AA1192" i="4"/>
  <c r="Y1192" i="4"/>
  <c r="AA1191" i="4"/>
  <c r="Y1191" i="4"/>
  <c r="AA1190" i="4"/>
  <c r="Y1190" i="4"/>
  <c r="AA1189" i="4"/>
  <c r="Y1189" i="4"/>
  <c r="AA1188" i="4"/>
  <c r="Y1188" i="4"/>
  <c r="AA1187" i="4"/>
  <c r="Y1187" i="4"/>
  <c r="AA1186" i="4"/>
  <c r="AA1185" i="4"/>
  <c r="Y1185" i="4"/>
  <c r="AA1184" i="4"/>
  <c r="Y1184" i="4"/>
  <c r="AA1183" i="4"/>
  <c r="Y1183" i="4"/>
  <c r="AA1182" i="4"/>
  <c r="Y1182" i="4"/>
  <c r="AA1181" i="4"/>
  <c r="Y1181" i="4"/>
  <c r="AA1180" i="4"/>
  <c r="Y1180" i="4"/>
  <c r="AA1179" i="4"/>
  <c r="Y1179" i="4"/>
  <c r="AA1178" i="4"/>
  <c r="Y1178" i="4"/>
  <c r="AA1177" i="4"/>
  <c r="Y1177" i="4"/>
  <c r="AA1176" i="4"/>
  <c r="Y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Y1150" i="4"/>
  <c r="AA1149" i="4"/>
  <c r="AA1148" i="4"/>
  <c r="AA1147" i="4"/>
  <c r="AA1146" i="4"/>
  <c r="AA1145" i="4"/>
  <c r="Y1145" i="4"/>
  <c r="AA1144" i="4"/>
  <c r="Y1144" i="4"/>
  <c r="AA1143" i="4"/>
  <c r="AA1142" i="4"/>
  <c r="AA1141" i="4"/>
  <c r="AA1140" i="4"/>
  <c r="AA1139" i="4"/>
  <c r="AA1138" i="4"/>
  <c r="Y1138" i="4"/>
  <c r="AA1137" i="4"/>
  <c r="AA1136" i="4"/>
  <c r="AA1135" i="4"/>
  <c r="Y1135" i="4"/>
  <c r="AA1134" i="4"/>
  <c r="Y1134" i="4"/>
  <c r="AA1133" i="4"/>
  <c r="AA1132" i="4"/>
  <c r="AA1131" i="4"/>
  <c r="Y1131" i="4"/>
  <c r="AA1130" i="4"/>
  <c r="Y1130" i="4"/>
  <c r="AA1129" i="4"/>
  <c r="Y1129" i="4"/>
  <c r="AA1128" i="4"/>
  <c r="Y1128" i="4"/>
  <c r="AA1127" i="4"/>
  <c r="Y1127" i="4"/>
  <c r="AA1126" i="4"/>
  <c r="AA1125" i="4"/>
  <c r="AA1124" i="4"/>
  <c r="Y1124" i="4"/>
  <c r="AA1123" i="4"/>
  <c r="AA1122" i="4"/>
  <c r="Y1122" i="4"/>
  <c r="AA1121" i="4"/>
  <c r="Y1121" i="4"/>
  <c r="AA1120" i="4"/>
  <c r="AA1119" i="4"/>
  <c r="Y1119" i="4"/>
  <c r="AA1118" i="4"/>
  <c r="Y1118" i="4"/>
  <c r="AA1117" i="4"/>
  <c r="AA1116" i="4"/>
  <c r="Y1116" i="4"/>
  <c r="AA1115" i="4"/>
  <c r="Y1115" i="4"/>
  <c r="AA1114" i="4"/>
  <c r="Y1114" i="4"/>
  <c r="AA1113" i="4"/>
  <c r="Y1113" i="4"/>
  <c r="AA1112" i="4"/>
  <c r="Y1112" i="4"/>
  <c r="AA1111" i="4"/>
  <c r="Y1111" i="4"/>
  <c r="AA1110" i="4"/>
  <c r="Y1110" i="4"/>
  <c r="AA1109" i="4"/>
  <c r="Y1109" i="4"/>
  <c r="AA1108" i="4"/>
  <c r="Y1108" i="4"/>
  <c r="AA1107" i="4"/>
  <c r="AA1106" i="4"/>
  <c r="Y1106" i="4"/>
  <c r="AA1105" i="4"/>
  <c r="Y1105" i="4"/>
  <c r="AA1104" i="4"/>
  <c r="Y1104" i="4"/>
  <c r="AA1103" i="4"/>
  <c r="Y1103" i="4"/>
  <c r="AA1102" i="4"/>
  <c r="AA1101" i="4"/>
  <c r="Y1101" i="4"/>
  <c r="AA1100" i="4"/>
  <c r="Y1100" i="4"/>
  <c r="AA1099" i="4"/>
  <c r="Y1099" i="4"/>
  <c r="AA1098" i="4"/>
  <c r="Y1098" i="4"/>
  <c r="AA1097" i="4"/>
  <c r="Y1097" i="4"/>
  <c r="AA1096" i="4"/>
  <c r="Y1096" i="4"/>
  <c r="AA1095" i="4"/>
  <c r="Y1095" i="4"/>
  <c r="AA1094" i="4"/>
  <c r="Y1094" i="4"/>
  <c r="AA1093" i="4"/>
  <c r="Y1093" i="4"/>
  <c r="AA1092" i="4"/>
  <c r="Y1092" i="4"/>
  <c r="AA1091" i="4"/>
  <c r="Y1091" i="4"/>
  <c r="AA1090" i="4"/>
  <c r="Y1090" i="4"/>
  <c r="AA1089" i="4"/>
  <c r="Y1089" i="4"/>
  <c r="AA1088" i="4"/>
  <c r="Y1088" i="4"/>
  <c r="AA1087" i="4"/>
  <c r="Y1087" i="4"/>
  <c r="AA1086" i="4"/>
  <c r="Y1086" i="4"/>
  <c r="AA1085" i="4"/>
  <c r="Y1085" i="4"/>
  <c r="AA1084" i="4"/>
  <c r="Y1084" i="4"/>
  <c r="AA1083" i="4"/>
  <c r="Y1083" i="4"/>
  <c r="AA1082" i="4"/>
  <c r="Y1082" i="4"/>
  <c r="AA1081" i="4"/>
  <c r="Y1081" i="4"/>
  <c r="AA1080" i="4"/>
  <c r="Y1080" i="4"/>
  <c r="AA1079" i="4"/>
  <c r="Y1079" i="4"/>
  <c r="AA1078" i="4"/>
  <c r="Y1078" i="4"/>
  <c r="AA1077" i="4"/>
  <c r="Y1077" i="4"/>
  <c r="AA1076" i="4"/>
  <c r="Y1076" i="4"/>
  <c r="AA1075" i="4"/>
  <c r="Y1075" i="4"/>
  <c r="AA1074" i="4"/>
  <c r="Y1074" i="4"/>
  <c r="AA1073" i="4"/>
  <c r="Y1073" i="4"/>
  <c r="AA1072" i="4"/>
  <c r="Y1072" i="4"/>
  <c r="AA1071" i="4"/>
  <c r="Y1071" i="4"/>
  <c r="AA1070" i="4"/>
  <c r="Y1070" i="4"/>
  <c r="AA1069" i="4"/>
  <c r="Y1069" i="4"/>
  <c r="AA1068" i="4"/>
  <c r="Y1068" i="4"/>
  <c r="AA1067" i="4"/>
  <c r="AA1066" i="4"/>
  <c r="Y1066" i="4"/>
  <c r="AA1065" i="4"/>
  <c r="Y1065" i="4"/>
  <c r="AA1064" i="4"/>
  <c r="Y1064" i="4"/>
  <c r="AA1063" i="4"/>
  <c r="AA1062" i="4"/>
  <c r="Y1062" i="4"/>
  <c r="AA1061" i="4"/>
  <c r="Y1061" i="4"/>
  <c r="AA1060" i="4"/>
  <c r="Y1060" i="4"/>
  <c r="AA1059" i="4"/>
  <c r="Y1059" i="4"/>
  <c r="AA1058" i="4"/>
  <c r="Y1058" i="4"/>
  <c r="AA1057" i="4"/>
  <c r="Y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Y1032" i="4"/>
  <c r="AA1031" i="4"/>
  <c r="Y1031" i="4"/>
  <c r="AA1030" i="4"/>
  <c r="AA1029" i="4"/>
  <c r="AA1028" i="4"/>
  <c r="AA1027" i="4"/>
  <c r="AA1026" i="4"/>
  <c r="AA1025" i="4"/>
  <c r="Y1025" i="4"/>
  <c r="AA1024" i="4"/>
  <c r="AA1023" i="4"/>
  <c r="AA1022" i="4"/>
  <c r="Y1022" i="4"/>
  <c r="AA1021" i="4"/>
  <c r="Y1021" i="4"/>
  <c r="AA1020" i="4"/>
  <c r="AA1019" i="4"/>
  <c r="AA1018" i="4"/>
  <c r="Y1018" i="4"/>
  <c r="AA1017" i="4"/>
  <c r="Y1017" i="4"/>
  <c r="AA1016" i="4"/>
  <c r="Y1016" i="4"/>
  <c r="AA1015" i="4"/>
  <c r="Y1015" i="4"/>
  <c r="AA1014" i="4"/>
  <c r="Y1014" i="4"/>
  <c r="AA1013" i="4"/>
  <c r="AA1012" i="4"/>
  <c r="AA1011" i="4"/>
  <c r="Y1011" i="4"/>
  <c r="AA1010" i="4"/>
  <c r="AA1009" i="4"/>
  <c r="Y1009" i="4"/>
  <c r="AA1008" i="4"/>
  <c r="Y1008" i="4"/>
  <c r="AA1007" i="4"/>
  <c r="AA1006" i="4"/>
  <c r="Y1006" i="4"/>
  <c r="AA1005" i="4"/>
  <c r="Y1005" i="4"/>
  <c r="AA1004" i="4"/>
  <c r="AA1003" i="4"/>
  <c r="Y1003" i="4"/>
  <c r="AA1002" i="4"/>
  <c r="Y1002" i="4"/>
  <c r="AA1001" i="4"/>
  <c r="Y1001" i="4"/>
  <c r="AA1000" i="4"/>
  <c r="Y1000" i="4"/>
  <c r="AA999" i="4"/>
  <c r="Y999" i="4"/>
  <c r="AA998" i="4"/>
  <c r="Y998" i="4"/>
  <c r="AA997" i="4"/>
  <c r="Y997" i="4"/>
  <c r="AA996" i="4"/>
  <c r="Y996" i="4"/>
  <c r="AA995" i="4"/>
  <c r="Y995" i="4"/>
  <c r="AA994" i="4"/>
  <c r="AA993" i="4"/>
  <c r="Y993" i="4"/>
  <c r="AA992" i="4"/>
  <c r="Y992" i="4"/>
  <c r="AA991" i="4"/>
  <c r="Y991" i="4"/>
  <c r="AA990" i="4"/>
  <c r="Y990" i="4"/>
  <c r="AA989" i="4"/>
  <c r="AA988" i="4"/>
  <c r="Y988" i="4"/>
  <c r="AA987" i="4"/>
  <c r="Y987" i="4"/>
  <c r="AA986" i="4"/>
  <c r="Y986" i="4"/>
  <c r="AA985" i="4"/>
  <c r="Y985" i="4"/>
  <c r="AA984" i="4"/>
  <c r="Y984" i="4"/>
  <c r="AA983" i="4"/>
  <c r="Y983" i="4"/>
  <c r="AA982" i="4"/>
  <c r="Y982" i="4"/>
  <c r="AA981" i="4"/>
  <c r="Y981" i="4"/>
  <c r="AA980" i="4"/>
  <c r="Y980" i="4"/>
  <c r="AA979" i="4"/>
  <c r="Y979" i="4"/>
  <c r="AA978" i="4"/>
  <c r="Y978" i="4"/>
  <c r="AA977" i="4"/>
  <c r="Y977" i="4"/>
  <c r="AA976" i="4"/>
  <c r="Y976" i="4"/>
  <c r="AA975" i="4"/>
  <c r="Y975" i="4"/>
  <c r="AA974" i="4"/>
  <c r="Y974" i="4"/>
  <c r="AA973" i="4"/>
  <c r="Y973" i="4"/>
  <c r="AA972" i="4"/>
  <c r="Y972" i="4"/>
  <c r="AA971" i="4"/>
  <c r="Y971" i="4"/>
  <c r="AA970" i="4"/>
  <c r="Y970" i="4"/>
  <c r="AA969" i="4"/>
  <c r="Y969" i="4"/>
  <c r="AA968" i="4"/>
  <c r="Y968" i="4"/>
  <c r="AA967" i="4"/>
  <c r="Y967" i="4"/>
  <c r="AA966" i="4"/>
  <c r="Y966" i="4"/>
  <c r="AA965" i="4"/>
  <c r="Y965" i="4"/>
  <c r="AA964" i="4"/>
  <c r="Y964" i="4"/>
  <c r="AA963" i="4"/>
  <c r="Y963" i="4"/>
  <c r="AA962" i="4"/>
  <c r="Y962" i="4"/>
  <c r="AA961" i="4"/>
  <c r="Y961" i="4"/>
  <c r="AA960" i="4"/>
  <c r="Y960" i="4"/>
  <c r="AA959" i="4"/>
  <c r="Y959" i="4"/>
  <c r="AA958" i="4"/>
  <c r="Y958" i="4"/>
  <c r="AA957" i="4"/>
  <c r="Y957" i="4"/>
  <c r="AA956" i="4"/>
  <c r="AA955" i="4"/>
  <c r="Y955" i="4"/>
  <c r="AA954" i="4"/>
  <c r="AA953" i="4"/>
  <c r="Y953" i="4"/>
  <c r="AA952" i="4"/>
  <c r="Y952" i="4"/>
  <c r="AA951" i="4"/>
  <c r="Y951" i="4"/>
  <c r="AA950" i="4"/>
  <c r="AA949" i="4"/>
  <c r="Y949" i="4"/>
  <c r="AA948" i="4"/>
  <c r="Y948" i="4"/>
  <c r="AA947" i="4"/>
  <c r="Y947" i="4"/>
  <c r="AA946" i="4"/>
  <c r="AA945" i="4"/>
  <c r="AA944" i="4"/>
  <c r="Y944" i="4"/>
  <c r="AA943" i="4"/>
  <c r="AA942" i="4"/>
  <c r="AA941" i="4"/>
  <c r="AA940" i="4"/>
  <c r="AA939" i="4"/>
  <c r="AA938" i="4"/>
  <c r="AA937" i="4"/>
  <c r="AA936" i="4"/>
  <c r="AA935" i="4"/>
  <c r="AA934" i="4"/>
  <c r="AA933" i="4"/>
  <c r="Y933" i="4"/>
  <c r="AA932" i="4"/>
  <c r="AA931" i="4"/>
  <c r="AA930" i="4"/>
  <c r="AA929" i="4"/>
  <c r="Y929" i="4"/>
  <c r="AA928" i="4"/>
  <c r="AA927" i="4"/>
  <c r="AA926" i="4"/>
  <c r="AA925" i="4"/>
  <c r="Y925" i="4"/>
  <c r="AA924" i="4"/>
  <c r="AA923" i="4"/>
  <c r="AA922" i="4"/>
  <c r="Y922" i="4"/>
  <c r="AA921" i="4"/>
  <c r="AA920" i="4"/>
  <c r="AA919" i="4"/>
  <c r="AA918" i="4"/>
  <c r="AA917" i="4"/>
  <c r="AA916" i="4"/>
  <c r="AA915" i="4"/>
  <c r="AA914" i="4"/>
  <c r="AA913" i="4"/>
  <c r="AA912" i="4"/>
  <c r="Y912" i="4"/>
  <c r="AA911" i="4"/>
  <c r="Y911" i="4"/>
  <c r="AA910" i="4"/>
  <c r="AA909" i="4"/>
  <c r="AA908" i="4"/>
  <c r="Y908" i="4"/>
  <c r="AA907" i="4"/>
  <c r="Y907" i="4"/>
  <c r="AA906" i="4"/>
  <c r="AA905" i="4"/>
  <c r="Y905" i="4"/>
  <c r="AA904" i="4"/>
  <c r="AA903" i="4"/>
  <c r="AA902" i="4"/>
  <c r="AA901" i="4"/>
  <c r="Y901" i="4"/>
  <c r="AA900" i="4"/>
  <c r="AA899" i="4"/>
  <c r="Y899" i="4"/>
  <c r="AA898" i="4"/>
  <c r="Y898" i="4"/>
  <c r="AA897" i="4"/>
  <c r="AA896" i="4"/>
  <c r="Y896" i="4"/>
  <c r="AA895" i="4"/>
  <c r="Y895" i="4"/>
  <c r="AA894" i="4"/>
  <c r="AA893" i="4"/>
  <c r="Y893" i="4"/>
  <c r="AA892" i="4"/>
  <c r="Y892" i="4"/>
  <c r="AA891" i="4"/>
  <c r="Y891" i="4"/>
  <c r="AA890" i="4"/>
  <c r="Y890" i="4"/>
  <c r="AA889" i="4"/>
  <c r="Y889" i="4"/>
  <c r="AA888" i="4"/>
  <c r="Y888" i="4"/>
  <c r="AA887" i="4"/>
  <c r="Y887" i="4"/>
  <c r="AA886" i="4"/>
  <c r="Y886" i="4"/>
  <c r="AA885" i="4"/>
  <c r="Y885" i="4"/>
  <c r="AA884" i="4"/>
  <c r="AA883" i="4"/>
  <c r="Y883" i="4"/>
  <c r="AA882" i="4"/>
  <c r="Y882" i="4"/>
  <c r="AA881" i="4"/>
  <c r="Y881" i="4"/>
  <c r="AA880" i="4"/>
  <c r="Y880" i="4"/>
  <c r="AA879" i="4"/>
  <c r="AA878" i="4"/>
  <c r="Y878" i="4"/>
  <c r="AA877" i="4"/>
  <c r="Y877" i="4"/>
  <c r="AA876" i="4"/>
  <c r="Y876" i="4"/>
  <c r="AA875" i="4"/>
  <c r="Y875" i="4"/>
  <c r="AA874" i="4"/>
  <c r="Y874" i="4"/>
  <c r="AA873" i="4"/>
  <c r="Y873" i="4"/>
  <c r="AA872" i="4"/>
  <c r="Y872" i="4"/>
  <c r="AA871" i="4"/>
  <c r="Y871" i="4"/>
  <c r="AA870" i="4"/>
  <c r="Y870" i="4"/>
  <c r="AA869" i="4"/>
  <c r="Y869" i="4"/>
  <c r="AA868" i="4"/>
  <c r="Y868" i="4"/>
  <c r="AA867" i="4"/>
  <c r="Y867" i="4"/>
  <c r="AA866" i="4"/>
  <c r="Y866" i="4"/>
  <c r="AA865" i="4"/>
  <c r="Y865" i="4"/>
  <c r="AA864" i="4"/>
  <c r="Y864" i="4"/>
  <c r="AA863" i="4"/>
  <c r="Y863" i="4"/>
  <c r="AA862" i="4"/>
  <c r="Y862" i="4"/>
  <c r="AA861" i="4"/>
  <c r="Y861" i="4"/>
  <c r="AA860" i="4"/>
  <c r="Y860" i="4"/>
  <c r="AA859" i="4"/>
  <c r="Y859" i="4"/>
  <c r="AA858" i="4"/>
  <c r="Y858" i="4"/>
  <c r="AA857" i="4"/>
  <c r="Y857" i="4"/>
  <c r="AA856" i="4"/>
  <c r="Y856" i="4"/>
  <c r="AA855" i="4"/>
  <c r="Y855" i="4"/>
  <c r="AA854" i="4"/>
  <c r="Y854" i="4"/>
  <c r="AA853" i="4"/>
  <c r="Y853" i="4"/>
  <c r="AA852" i="4"/>
  <c r="Y852" i="4"/>
  <c r="AA851" i="4"/>
  <c r="Y851" i="4"/>
  <c r="AA850" i="4"/>
  <c r="Y850" i="4"/>
  <c r="AA849" i="4"/>
  <c r="Y849" i="4"/>
  <c r="AA848" i="4"/>
  <c r="Y848" i="4"/>
  <c r="AA847" i="4"/>
  <c r="Y847" i="4"/>
  <c r="AA846" i="4"/>
  <c r="AA845" i="4"/>
  <c r="Y845" i="4"/>
  <c r="AA844" i="4"/>
  <c r="AA843" i="4"/>
  <c r="Y843" i="4"/>
  <c r="AA842" i="4"/>
  <c r="Y842" i="4"/>
  <c r="AA841" i="4"/>
  <c r="Y841" i="4"/>
  <c r="AA840" i="4"/>
  <c r="AA839" i="4"/>
  <c r="AA838" i="4"/>
  <c r="Y838" i="4"/>
  <c r="AA837" i="4"/>
  <c r="Y837" i="4"/>
  <c r="AA836" i="4"/>
  <c r="Y836" i="4"/>
  <c r="AA835" i="4"/>
  <c r="Y835" i="4"/>
  <c r="AA834" i="4"/>
  <c r="Y834" i="4"/>
  <c r="AA833" i="4"/>
  <c r="Y833" i="4"/>
  <c r="AA832" i="4"/>
  <c r="Y832" i="4"/>
  <c r="AA831" i="4"/>
  <c r="Y831" i="4"/>
  <c r="AA830" i="4"/>
  <c r="Y830" i="4"/>
  <c r="AA829" i="4"/>
  <c r="Y829" i="4"/>
  <c r="AA828" i="4"/>
  <c r="AA827" i="4"/>
  <c r="AA826" i="4"/>
  <c r="AA825" i="4"/>
  <c r="AA824" i="4"/>
  <c r="AA823" i="4"/>
  <c r="AA822" i="4"/>
  <c r="AA821" i="4"/>
  <c r="Y821" i="4"/>
  <c r="AA820" i="4"/>
  <c r="Y820" i="4"/>
  <c r="AA819" i="4"/>
  <c r="Y819" i="4"/>
  <c r="AA818" i="4"/>
  <c r="AA817" i="4"/>
  <c r="AA816" i="4"/>
  <c r="Y816" i="4"/>
  <c r="AA815" i="4"/>
  <c r="AA814" i="4"/>
  <c r="AA813" i="4"/>
  <c r="Y813" i="4"/>
  <c r="AA812" i="4"/>
  <c r="AA811" i="4"/>
  <c r="AA810" i="4"/>
  <c r="AA809" i="4"/>
  <c r="AA808" i="4"/>
  <c r="AA807" i="4"/>
  <c r="AA806" i="4"/>
  <c r="AA805" i="4"/>
  <c r="AA804" i="4"/>
  <c r="AA803" i="4"/>
  <c r="Y803" i="4"/>
  <c r="AA802" i="4"/>
  <c r="Y802" i="4"/>
  <c r="AA801" i="4"/>
  <c r="AA800" i="4"/>
  <c r="AA799" i="4"/>
  <c r="Y799" i="4"/>
  <c r="AA798" i="4"/>
  <c r="Y798" i="4"/>
  <c r="AA797" i="4"/>
  <c r="AA796" i="4"/>
  <c r="Y796" i="4"/>
  <c r="AA795" i="4"/>
  <c r="AA794" i="4"/>
  <c r="AA793" i="4"/>
  <c r="AA792" i="4"/>
  <c r="Y792" i="4"/>
  <c r="AA791" i="4"/>
  <c r="AA790" i="4"/>
  <c r="Y790" i="4"/>
  <c r="AA789" i="4"/>
  <c r="Y789" i="4"/>
  <c r="AA788" i="4"/>
  <c r="AA787" i="4"/>
  <c r="Y787" i="4"/>
  <c r="AA786" i="4"/>
  <c r="Y786" i="4"/>
  <c r="AA785" i="4"/>
  <c r="AA784" i="4"/>
  <c r="Y784" i="4"/>
  <c r="AA783" i="4"/>
  <c r="Y783" i="4"/>
  <c r="AA782" i="4"/>
  <c r="Y782" i="4"/>
  <c r="AA781" i="4"/>
  <c r="Y781" i="4"/>
  <c r="AA780" i="4"/>
  <c r="Y780" i="4"/>
  <c r="AA779" i="4"/>
  <c r="Y779" i="4"/>
  <c r="AA778" i="4"/>
  <c r="Y778" i="4"/>
  <c r="AA777" i="4"/>
  <c r="Y777" i="4"/>
  <c r="AA776" i="4"/>
  <c r="Y776" i="4"/>
  <c r="AA775" i="4"/>
  <c r="Y775" i="4"/>
  <c r="AA774" i="4"/>
  <c r="AA773" i="4"/>
  <c r="Y773" i="4"/>
  <c r="AA772" i="4"/>
  <c r="Y772" i="4"/>
  <c r="AA771" i="4"/>
  <c r="Y771" i="4"/>
  <c r="AA770" i="4"/>
  <c r="Y770" i="4"/>
  <c r="AA769" i="4"/>
  <c r="AA768" i="4"/>
  <c r="Y768" i="4"/>
  <c r="AA767" i="4"/>
  <c r="Y767" i="4"/>
  <c r="AA766" i="4"/>
  <c r="Y766" i="4"/>
  <c r="AA765" i="4"/>
  <c r="Y765" i="4"/>
  <c r="AA764" i="4"/>
  <c r="Y764" i="4"/>
  <c r="AA763" i="4"/>
  <c r="AA762" i="4"/>
  <c r="Y762" i="4"/>
  <c r="AA761" i="4"/>
  <c r="Y761" i="4"/>
  <c r="AA760" i="4"/>
  <c r="Y760" i="4"/>
  <c r="AA759" i="4"/>
  <c r="Y759" i="4"/>
  <c r="AA758" i="4"/>
  <c r="Y758" i="4"/>
  <c r="AA757" i="4"/>
  <c r="Y757" i="4"/>
  <c r="AA756" i="4"/>
  <c r="Y756" i="4"/>
  <c r="AA755" i="4"/>
  <c r="Y755" i="4"/>
  <c r="AA754" i="4"/>
  <c r="Y754" i="4"/>
  <c r="AA753" i="4"/>
  <c r="Y753" i="4"/>
  <c r="AA752" i="4"/>
  <c r="Y752" i="4"/>
  <c r="AA751" i="4"/>
  <c r="Y751" i="4"/>
  <c r="AA750" i="4"/>
  <c r="Y750" i="4"/>
  <c r="AA749" i="4"/>
  <c r="Y749" i="4"/>
  <c r="AA748" i="4"/>
  <c r="Y748" i="4"/>
  <c r="AA747" i="4"/>
  <c r="Y747" i="4"/>
  <c r="AA746" i="4"/>
  <c r="Y746" i="4"/>
  <c r="AA745" i="4"/>
  <c r="Y745" i="4"/>
  <c r="AA744" i="4"/>
  <c r="Y744" i="4"/>
  <c r="AA743" i="4"/>
  <c r="Y743" i="4"/>
  <c r="AA742" i="4"/>
  <c r="Y742" i="4"/>
  <c r="AA741" i="4"/>
  <c r="Y741" i="4"/>
  <c r="AA740" i="4"/>
  <c r="Y740" i="4"/>
  <c r="AA739" i="4"/>
  <c r="Y739" i="4"/>
  <c r="AA738" i="4"/>
  <c r="Y738" i="4"/>
  <c r="AA737" i="4"/>
  <c r="Y737" i="4"/>
  <c r="AA736" i="4"/>
  <c r="AA735" i="4"/>
  <c r="Y735" i="4"/>
  <c r="AA734" i="4"/>
  <c r="AA733" i="4"/>
  <c r="Y733" i="4"/>
  <c r="AA732" i="4"/>
  <c r="Y732" i="4"/>
  <c r="AA731" i="4"/>
  <c r="Y731" i="4"/>
  <c r="AA730" i="4"/>
  <c r="AA729" i="4"/>
  <c r="AA728" i="4"/>
  <c r="Y728" i="4"/>
  <c r="AA727" i="4"/>
  <c r="Y727" i="4"/>
  <c r="AA726" i="4"/>
  <c r="Y726" i="4"/>
  <c r="AA725" i="4"/>
  <c r="Y725" i="4"/>
  <c r="AA724" i="4"/>
  <c r="AA723" i="4"/>
  <c r="AA722" i="4"/>
  <c r="AA721" i="4"/>
  <c r="AA720" i="4"/>
  <c r="AA719" i="4"/>
  <c r="AA718" i="4"/>
  <c r="AA717" i="4"/>
  <c r="AA716" i="4"/>
  <c r="AA715" i="4"/>
  <c r="AA714" i="4"/>
  <c r="AA713" i="4"/>
  <c r="AA712" i="4"/>
  <c r="AA711" i="4"/>
  <c r="AA710" i="4"/>
  <c r="AA709" i="4"/>
  <c r="AA708" i="4"/>
  <c r="AA707" i="4"/>
  <c r="AA706" i="4"/>
  <c r="AA704" i="4"/>
  <c r="AA703" i="4"/>
  <c r="AA702" i="4"/>
  <c r="Y702" i="4"/>
  <c r="AA701" i="4"/>
  <c r="AA700" i="4"/>
  <c r="AA699" i="4"/>
  <c r="AA698" i="4"/>
  <c r="Y698" i="4"/>
  <c r="AA697" i="4"/>
  <c r="Y697" i="4"/>
  <c r="AA696" i="4"/>
  <c r="AA695" i="4"/>
  <c r="Y695" i="4"/>
  <c r="AA694" i="4"/>
  <c r="AA693" i="4"/>
  <c r="AA692" i="4"/>
  <c r="AA691" i="4"/>
  <c r="Y691" i="4"/>
  <c r="AA690" i="4"/>
  <c r="AA689" i="4"/>
  <c r="AA688" i="4"/>
  <c r="AA687" i="4"/>
  <c r="AA686" i="4"/>
  <c r="AA685" i="4"/>
  <c r="Y685" i="4"/>
  <c r="AA684" i="4"/>
  <c r="AA683" i="4"/>
  <c r="AA682" i="4"/>
  <c r="Y682" i="4"/>
  <c r="AA681" i="4"/>
  <c r="Y681" i="4"/>
  <c r="AA680" i="4"/>
  <c r="AA679" i="4"/>
  <c r="Y679" i="4"/>
  <c r="AA678" i="4"/>
  <c r="AA677" i="4"/>
  <c r="Y677" i="4"/>
  <c r="AA676" i="4"/>
  <c r="Y676" i="4"/>
  <c r="AA675" i="4"/>
  <c r="Y675" i="4"/>
  <c r="AA674" i="4"/>
  <c r="Y674" i="4"/>
  <c r="AA673" i="4"/>
  <c r="Y673" i="4"/>
  <c r="AA672" i="4"/>
  <c r="Y672" i="4"/>
  <c r="AA671" i="4"/>
  <c r="Y671" i="4"/>
  <c r="AA670" i="4"/>
  <c r="Y670" i="4"/>
  <c r="AA669" i="4"/>
  <c r="Y669" i="4"/>
  <c r="AA668" i="4"/>
  <c r="Y668" i="4"/>
  <c r="AA667" i="4"/>
  <c r="AA666" i="4"/>
  <c r="Y666" i="4"/>
  <c r="AA665" i="4"/>
  <c r="AA664" i="4"/>
  <c r="AA663" i="4"/>
  <c r="Y663" i="4"/>
  <c r="AA662" i="4"/>
  <c r="Y662" i="4"/>
  <c r="AA661" i="4"/>
  <c r="Y661" i="4"/>
  <c r="AA660" i="4"/>
  <c r="Y660" i="4"/>
  <c r="AA659" i="4"/>
  <c r="Y659" i="4"/>
  <c r="AA658" i="4"/>
  <c r="Y658" i="4"/>
  <c r="AA657" i="4"/>
  <c r="Y657" i="4"/>
  <c r="AA656" i="4"/>
  <c r="Y656" i="4"/>
  <c r="AA655" i="4"/>
  <c r="Y655" i="4"/>
  <c r="AA654" i="4"/>
  <c r="Y654" i="4"/>
  <c r="AA653" i="4"/>
  <c r="AA652" i="4"/>
  <c r="AA651" i="4"/>
  <c r="AA650" i="4"/>
  <c r="AA649" i="4"/>
  <c r="Y649" i="4"/>
  <c r="AA648" i="4"/>
  <c r="Y648" i="4"/>
  <c r="AA647" i="4"/>
  <c r="AA646" i="4"/>
  <c r="AA644" i="4"/>
  <c r="AA643" i="4"/>
  <c r="AA642" i="4"/>
  <c r="AA641" i="4"/>
  <c r="AA640" i="4"/>
  <c r="AA639" i="4"/>
  <c r="AA638" i="4"/>
  <c r="AA637" i="4"/>
  <c r="AA636" i="4"/>
  <c r="AA635" i="4"/>
  <c r="AA634" i="4"/>
  <c r="AA633" i="4"/>
  <c r="AA632" i="4"/>
  <c r="AA631" i="4"/>
  <c r="AA630" i="4"/>
  <c r="AA629" i="4"/>
  <c r="AA628" i="4"/>
  <c r="Y628" i="4"/>
  <c r="AA627" i="4"/>
  <c r="Y627" i="4"/>
  <c r="AA626" i="4"/>
  <c r="AA625" i="4"/>
  <c r="AA624" i="4"/>
  <c r="Y624" i="4"/>
  <c r="AA623" i="4"/>
  <c r="Y623" i="4"/>
  <c r="AA622" i="4"/>
  <c r="AA621" i="4"/>
  <c r="AA620" i="4"/>
  <c r="Y620" i="4"/>
  <c r="AA619" i="4"/>
  <c r="AA618" i="4"/>
  <c r="AA617" i="4"/>
  <c r="Y617" i="4"/>
  <c r="AA616" i="4"/>
  <c r="Y616" i="4"/>
  <c r="AA615" i="4"/>
  <c r="AA614" i="4"/>
  <c r="AA613" i="4"/>
  <c r="AA612" i="4"/>
  <c r="Y612" i="4"/>
  <c r="AA611" i="4"/>
  <c r="Y611" i="4"/>
  <c r="AA610" i="4"/>
  <c r="Y610" i="4"/>
  <c r="AA609" i="4"/>
  <c r="AA608" i="4"/>
  <c r="Y608" i="4"/>
  <c r="AA607" i="4"/>
  <c r="Y607" i="4"/>
  <c r="AA606" i="4"/>
  <c r="AA605" i="4"/>
  <c r="Y605" i="4"/>
  <c r="AA604" i="4"/>
  <c r="Y604" i="4"/>
  <c r="AA603" i="4"/>
  <c r="Y603" i="4"/>
  <c r="AA602" i="4"/>
  <c r="Y602" i="4"/>
  <c r="AA601" i="4"/>
  <c r="AA600" i="4"/>
  <c r="Y600" i="4"/>
  <c r="AA599" i="4"/>
  <c r="AA598" i="4"/>
  <c r="AA597" i="4"/>
  <c r="AA596" i="4"/>
  <c r="Y596" i="4"/>
  <c r="AA595" i="4"/>
  <c r="Y595" i="4"/>
  <c r="AA594" i="4"/>
  <c r="Y594" i="4"/>
  <c r="AA593" i="4"/>
  <c r="Y593" i="4"/>
  <c r="AA592" i="4"/>
  <c r="Y592" i="4"/>
  <c r="AA591" i="4"/>
  <c r="Y591" i="4"/>
  <c r="AA590" i="4"/>
  <c r="Y590" i="4"/>
  <c r="AA589" i="4"/>
  <c r="Y589" i="4"/>
  <c r="AA588" i="4"/>
  <c r="Y588" i="4"/>
  <c r="AA587" i="4"/>
  <c r="Y587" i="4"/>
  <c r="AA586" i="4"/>
  <c r="Y586" i="4"/>
  <c r="AA585" i="4"/>
  <c r="Y585" i="4"/>
  <c r="AA584" i="4"/>
  <c r="Y584" i="4"/>
  <c r="AA583" i="4"/>
  <c r="Y583" i="4"/>
  <c r="AA582" i="4"/>
  <c r="Y582" i="4"/>
  <c r="AA581" i="4"/>
  <c r="AA580" i="4"/>
  <c r="AA579" i="4"/>
  <c r="Y579" i="4"/>
  <c r="AA578" i="4"/>
  <c r="Y578" i="4"/>
  <c r="AA577" i="4"/>
  <c r="Y577" i="4"/>
  <c r="AA576" i="4"/>
  <c r="Y576" i="4"/>
  <c r="AA575" i="4"/>
  <c r="Y575" i="4"/>
  <c r="AA574" i="4"/>
  <c r="Y574" i="4"/>
  <c r="AA573" i="4"/>
  <c r="AA572" i="4"/>
  <c r="Y572" i="4"/>
  <c r="AA571" i="4"/>
  <c r="AA570" i="4"/>
  <c r="AA569" i="4"/>
  <c r="AA568" i="4"/>
  <c r="AA567" i="4"/>
  <c r="AA566" i="4"/>
  <c r="AA565" i="4"/>
  <c r="AA564" i="4"/>
  <c r="AA563" i="4"/>
  <c r="AA562" i="4"/>
  <c r="AA561" i="4"/>
  <c r="AA560" i="4"/>
  <c r="AA559" i="4"/>
  <c r="AA558" i="4"/>
  <c r="AA557" i="4"/>
  <c r="AA556" i="4"/>
  <c r="AA555" i="4"/>
  <c r="Y555" i="4"/>
  <c r="AA554" i="4"/>
  <c r="Y554" i="4"/>
  <c r="AA553" i="4"/>
  <c r="Y553" i="4"/>
  <c r="AA552" i="4"/>
  <c r="Y552" i="4"/>
  <c r="AA551" i="4"/>
  <c r="AA550" i="4"/>
  <c r="AA549" i="4"/>
  <c r="AA548" i="4"/>
  <c r="Y548" i="4"/>
  <c r="AA547" i="4"/>
  <c r="AA546" i="4"/>
  <c r="AA545" i="4"/>
  <c r="Y545" i="4"/>
  <c r="AA544" i="4"/>
  <c r="AA543" i="4"/>
  <c r="AA542" i="4"/>
  <c r="Y542" i="4"/>
  <c r="AA541" i="4"/>
  <c r="AA540" i="4"/>
  <c r="AA539" i="4"/>
  <c r="Y539" i="4"/>
  <c r="AA538" i="4"/>
  <c r="Y538" i="4"/>
  <c r="AA537" i="4"/>
  <c r="Y537" i="4"/>
  <c r="AA536" i="4"/>
  <c r="AA535" i="4"/>
  <c r="Y535" i="4"/>
  <c r="AA534" i="4"/>
  <c r="AA532" i="4"/>
  <c r="Y532" i="4"/>
  <c r="AA531" i="4"/>
  <c r="AA530" i="4"/>
  <c r="AA529" i="4"/>
  <c r="Y529" i="4"/>
  <c r="AA528" i="4"/>
  <c r="Y528" i="4"/>
  <c r="AA527" i="4"/>
  <c r="Y527" i="4"/>
  <c r="AA526" i="4"/>
  <c r="Y526" i="4"/>
  <c r="AA525" i="4"/>
  <c r="Y525" i="4"/>
  <c r="AA524" i="4"/>
  <c r="Y524" i="4"/>
  <c r="AA523" i="4"/>
  <c r="Y523" i="4"/>
  <c r="AA522" i="4"/>
  <c r="Y522" i="4"/>
  <c r="AA521" i="4"/>
  <c r="Y521" i="4"/>
  <c r="AA520" i="4"/>
  <c r="Y520" i="4"/>
  <c r="AA519" i="4"/>
  <c r="Y519" i="4"/>
  <c r="AA518" i="4"/>
  <c r="Y518" i="4"/>
  <c r="AA517" i="4"/>
  <c r="Y517" i="4"/>
  <c r="AA516" i="4"/>
  <c r="AA514" i="4"/>
  <c r="Y514" i="4"/>
  <c r="AA513" i="4"/>
  <c r="Y513" i="4"/>
  <c r="AA512" i="4"/>
  <c r="AA511" i="4"/>
  <c r="AA510" i="4"/>
  <c r="AA509" i="4"/>
  <c r="AA508" i="4"/>
  <c r="Y508" i="4"/>
  <c r="AA507" i="4"/>
  <c r="AA506" i="4"/>
  <c r="AA505" i="4"/>
  <c r="AA504" i="4"/>
  <c r="AA503" i="4"/>
  <c r="AA502" i="4"/>
  <c r="Y502" i="4"/>
  <c r="AA501" i="4"/>
  <c r="AA500" i="4"/>
  <c r="AA499" i="4"/>
  <c r="AA498" i="4"/>
  <c r="AA497" i="4"/>
  <c r="Y497" i="4"/>
  <c r="AA496" i="4"/>
  <c r="AA495" i="4"/>
  <c r="AA494" i="4"/>
  <c r="AA493" i="4"/>
  <c r="AA492" i="4"/>
  <c r="Y492" i="4"/>
  <c r="AA491" i="4"/>
  <c r="AA490" i="4"/>
  <c r="AA489" i="4"/>
  <c r="Y489" i="4"/>
  <c r="AA488" i="4"/>
  <c r="AA487" i="4"/>
  <c r="Y487" i="4"/>
  <c r="AA486" i="4"/>
  <c r="AA485" i="4"/>
  <c r="Y485" i="4"/>
  <c r="AA484" i="4"/>
  <c r="AA483" i="4"/>
  <c r="Y483" i="4"/>
  <c r="AA482" i="4"/>
  <c r="AA481" i="4"/>
  <c r="AA480" i="4"/>
  <c r="Y480" i="4"/>
  <c r="AA479" i="4"/>
  <c r="AA478" i="4"/>
  <c r="AA477" i="4"/>
  <c r="Y477" i="4"/>
  <c r="AA476" i="4"/>
  <c r="Y476" i="4"/>
  <c r="AA475" i="4"/>
  <c r="Y475" i="4"/>
  <c r="AA474" i="4"/>
  <c r="Y474" i="4"/>
  <c r="AA473" i="4"/>
  <c r="Y473" i="4"/>
  <c r="AA472" i="4"/>
  <c r="AA471" i="4"/>
  <c r="Y471" i="4"/>
  <c r="AA470" i="4"/>
  <c r="AA468" i="4"/>
  <c r="Y468" i="4"/>
  <c r="AA467" i="4"/>
  <c r="AA466" i="4"/>
  <c r="AA465" i="4"/>
  <c r="Y465" i="4"/>
  <c r="AA464" i="4"/>
  <c r="AA463" i="4"/>
  <c r="Y463" i="4"/>
  <c r="AA462" i="4"/>
  <c r="Y462" i="4"/>
  <c r="AA461" i="4"/>
  <c r="Y461" i="4"/>
  <c r="AA460" i="4"/>
  <c r="Y460" i="4"/>
  <c r="AA459" i="4"/>
  <c r="AA458" i="4"/>
  <c r="AA457" i="4"/>
  <c r="Y457" i="4"/>
  <c r="AA456" i="4"/>
  <c r="AA455" i="4"/>
  <c r="AA454" i="4"/>
  <c r="Y454" i="4"/>
  <c r="AA453" i="4"/>
  <c r="Y453" i="4"/>
  <c r="AA452" i="4"/>
  <c r="AA451" i="4"/>
  <c r="AA450" i="4"/>
  <c r="AA449" i="4"/>
  <c r="AA448" i="4"/>
  <c r="AA447" i="4"/>
  <c r="AA446" i="4"/>
  <c r="AA445" i="4"/>
  <c r="AA444" i="4"/>
  <c r="AA443" i="4"/>
  <c r="AA442" i="4"/>
  <c r="AA441" i="4"/>
  <c r="AA440" i="4"/>
  <c r="AA439" i="4"/>
  <c r="AA438" i="4"/>
  <c r="AA437" i="4"/>
  <c r="AA436" i="4"/>
  <c r="AA435" i="4"/>
  <c r="AA434" i="4"/>
  <c r="AA433" i="4"/>
  <c r="AA432" i="4"/>
  <c r="Y432" i="4"/>
  <c r="AA431" i="4"/>
  <c r="AA430" i="4"/>
  <c r="Y430" i="4"/>
  <c r="AA429" i="4"/>
  <c r="Y429" i="4"/>
  <c r="AA428" i="4"/>
  <c r="Y428" i="4"/>
  <c r="AA427" i="4"/>
  <c r="Y427" i="4"/>
  <c r="AA426" i="4"/>
  <c r="Y426" i="4"/>
  <c r="AA425" i="4"/>
  <c r="AA424" i="4"/>
  <c r="Y424" i="4"/>
  <c r="AA423" i="4"/>
  <c r="Y423" i="4"/>
  <c r="AA422" i="4"/>
  <c r="Y422" i="4"/>
  <c r="AA421" i="4"/>
  <c r="AA420" i="4"/>
  <c r="Y420" i="4"/>
  <c r="AA419" i="4"/>
  <c r="Y419" i="4"/>
  <c r="AA418" i="4"/>
  <c r="Y418" i="4"/>
  <c r="AA417" i="4"/>
  <c r="Y417" i="4"/>
  <c r="AA416" i="4"/>
  <c r="Y416" i="4"/>
  <c r="AA415" i="4"/>
  <c r="Y415" i="4"/>
  <c r="AA414" i="4"/>
  <c r="Y414" i="4"/>
  <c r="AA413" i="4"/>
  <c r="Y413" i="4"/>
  <c r="AA412" i="4"/>
  <c r="Y412" i="4"/>
  <c r="AA411" i="4"/>
  <c r="Y411" i="4"/>
  <c r="AA410" i="4"/>
  <c r="AA409" i="4"/>
  <c r="Y409" i="4"/>
  <c r="AA408" i="4"/>
  <c r="Y408" i="4"/>
  <c r="AA407" i="4"/>
  <c r="Y407" i="4"/>
  <c r="AA406" i="4"/>
  <c r="AA405" i="4"/>
  <c r="Y405" i="4"/>
  <c r="AA404" i="4"/>
  <c r="Y404" i="4"/>
  <c r="AA403" i="4"/>
  <c r="AA402" i="4"/>
  <c r="Y402" i="4"/>
  <c r="AA401" i="4"/>
  <c r="Y401" i="4"/>
  <c r="AA400" i="4"/>
  <c r="Y400" i="4"/>
  <c r="AA399" i="4"/>
  <c r="Y399" i="4"/>
  <c r="AA398" i="4"/>
  <c r="Y398" i="4"/>
  <c r="AA397" i="4"/>
  <c r="Y397" i="4"/>
  <c r="AA396" i="4"/>
  <c r="Y396" i="4"/>
  <c r="AA395" i="4"/>
  <c r="AA394" i="4"/>
  <c r="Y394" i="4"/>
  <c r="AA393" i="4"/>
  <c r="AA392" i="4"/>
  <c r="Y392" i="4"/>
  <c r="AA391" i="4"/>
  <c r="Y391" i="4"/>
  <c r="AA390" i="4"/>
  <c r="Y390" i="4"/>
  <c r="AA389" i="4"/>
  <c r="AA388" i="4"/>
  <c r="AA387" i="4"/>
  <c r="AA386" i="4"/>
  <c r="Y386" i="4"/>
  <c r="AA385" i="4"/>
  <c r="Y385" i="4"/>
  <c r="AA384" i="4"/>
  <c r="Y384" i="4"/>
  <c r="AA383" i="4"/>
  <c r="Y383" i="4"/>
  <c r="AA382" i="4"/>
  <c r="Y382" i="4"/>
  <c r="AA381" i="4"/>
  <c r="Y381" i="4"/>
  <c r="AA380" i="4"/>
  <c r="Y380" i="4"/>
  <c r="AA379" i="4"/>
  <c r="Y379" i="4"/>
  <c r="AA378" i="4"/>
  <c r="Y378" i="4"/>
  <c r="AA377" i="4"/>
  <c r="Y377" i="4"/>
  <c r="AA376" i="4"/>
  <c r="AA375" i="4"/>
  <c r="Y375" i="4"/>
  <c r="AA374" i="4"/>
  <c r="AA373" i="4"/>
  <c r="AA372" i="4"/>
  <c r="AA371" i="4"/>
  <c r="Y371" i="4"/>
  <c r="AA370" i="4"/>
  <c r="AA369" i="4"/>
  <c r="AA368" i="4"/>
  <c r="Y368" i="4"/>
  <c r="AA367" i="4"/>
  <c r="AA366" i="4"/>
  <c r="AA365" i="4"/>
  <c r="AA364" i="4"/>
  <c r="AA363" i="4"/>
  <c r="AA362" i="4"/>
  <c r="AA361" i="4"/>
  <c r="AA360" i="4"/>
  <c r="AA359" i="4"/>
  <c r="AA358" i="4"/>
  <c r="Y358" i="4"/>
  <c r="AA357" i="4"/>
  <c r="AA356" i="4"/>
  <c r="AA355" i="4"/>
  <c r="AA354" i="4"/>
  <c r="Y354" i="4"/>
  <c r="AA353" i="4"/>
  <c r="Y353" i="4"/>
  <c r="AA352" i="4"/>
  <c r="Y352" i="4"/>
  <c r="AA351" i="4"/>
  <c r="AA350" i="4"/>
  <c r="Y350" i="4"/>
  <c r="AA349" i="4"/>
  <c r="AA348" i="4"/>
  <c r="Y348" i="4"/>
  <c r="AA347" i="4"/>
  <c r="AA346" i="4"/>
  <c r="AA345" i="4"/>
  <c r="AA344" i="4"/>
  <c r="AA343" i="4"/>
  <c r="Y343" i="4"/>
  <c r="AA342" i="4"/>
  <c r="AA341" i="4"/>
  <c r="AA340" i="4"/>
  <c r="AA339" i="4"/>
  <c r="Y339" i="4"/>
  <c r="AA338" i="4"/>
  <c r="Y338" i="4"/>
  <c r="AA337" i="4"/>
  <c r="AA336" i="4"/>
  <c r="AA335" i="4"/>
  <c r="AA334" i="4"/>
  <c r="AA333" i="4"/>
  <c r="Y333" i="4"/>
  <c r="AA332" i="4"/>
  <c r="AA331" i="4"/>
  <c r="Y331" i="4"/>
  <c r="AA330" i="4"/>
  <c r="Y330" i="4"/>
  <c r="AA329" i="4"/>
  <c r="Y329" i="4"/>
  <c r="AA328" i="4"/>
  <c r="AA327" i="4"/>
  <c r="AA326" i="4"/>
  <c r="Y326" i="4"/>
  <c r="AA325" i="4"/>
  <c r="Y325" i="4"/>
  <c r="AA324" i="4"/>
  <c r="AA323" i="4"/>
  <c r="Y323" i="4"/>
  <c r="AA322" i="4"/>
  <c r="Y322" i="4"/>
  <c r="AA321" i="4"/>
  <c r="Y321" i="4"/>
  <c r="AA320" i="4"/>
  <c r="Y320" i="4"/>
  <c r="AA319" i="4"/>
  <c r="Y319" i="4"/>
  <c r="AA318" i="4"/>
  <c r="Y318" i="4"/>
  <c r="AA317" i="4"/>
  <c r="Y317" i="4"/>
  <c r="AA316" i="4"/>
  <c r="Y316" i="4"/>
  <c r="AA315" i="4"/>
  <c r="Y315" i="4"/>
  <c r="AA314" i="4"/>
  <c r="Y314" i="4"/>
  <c r="AA313" i="4"/>
  <c r="Y313" i="4"/>
  <c r="AA312" i="4"/>
  <c r="Y312" i="4"/>
  <c r="AA311" i="4"/>
  <c r="Y311" i="4"/>
  <c r="AA310" i="4"/>
  <c r="AA309" i="4"/>
  <c r="AA308" i="4"/>
  <c r="AA307" i="4"/>
  <c r="AA306" i="4"/>
  <c r="AA305" i="4"/>
  <c r="AA304" i="4"/>
  <c r="Y304" i="4"/>
  <c r="AA303" i="4"/>
  <c r="AA302" i="4"/>
  <c r="Y302" i="4"/>
  <c r="AA301" i="4"/>
  <c r="AA300" i="4"/>
  <c r="AA299" i="4"/>
  <c r="Y299" i="4"/>
  <c r="AA298" i="4"/>
  <c r="AA297" i="4"/>
  <c r="AA296" i="4"/>
  <c r="AA295" i="4"/>
  <c r="AA294" i="4"/>
  <c r="AA293" i="4"/>
  <c r="AA292" i="4"/>
  <c r="AA291" i="4"/>
  <c r="AA290" i="4"/>
  <c r="AA289" i="4"/>
  <c r="AA288" i="4"/>
  <c r="AA287" i="4"/>
  <c r="AA286" i="4"/>
  <c r="Y286" i="4"/>
  <c r="AA285" i="4"/>
  <c r="AA284" i="4"/>
  <c r="Y284" i="4"/>
  <c r="AA283" i="4"/>
  <c r="Y283" i="4"/>
  <c r="AA282" i="4"/>
  <c r="Y282" i="4"/>
  <c r="AA281" i="4"/>
  <c r="AA280" i="4"/>
  <c r="AA279" i="4"/>
  <c r="AA278" i="4"/>
  <c r="AA277" i="4"/>
  <c r="Y277" i="4"/>
  <c r="AA276" i="4"/>
  <c r="AA275" i="4"/>
  <c r="Y275" i="4"/>
  <c r="AA274" i="4"/>
  <c r="Y274" i="4"/>
  <c r="AA273" i="4"/>
  <c r="AA272" i="4"/>
  <c r="AA271" i="4"/>
  <c r="Y271" i="4"/>
  <c r="AA270" i="4"/>
  <c r="AA269" i="4"/>
  <c r="Y269" i="4"/>
  <c r="AA268" i="4"/>
  <c r="AA267" i="4"/>
  <c r="Y267" i="4"/>
  <c r="AA266" i="4"/>
  <c r="Y266" i="4"/>
  <c r="AA265" i="4"/>
  <c r="AA264" i="4"/>
  <c r="AA263" i="4"/>
  <c r="AA262" i="4"/>
  <c r="Y262" i="4"/>
  <c r="AA261" i="4"/>
  <c r="Y261" i="4"/>
  <c r="AA260" i="4"/>
  <c r="Y260" i="4"/>
  <c r="AA259" i="4"/>
  <c r="Y259" i="4"/>
  <c r="AA258" i="4"/>
  <c r="Y258" i="4"/>
  <c r="AA257" i="4"/>
  <c r="Y257" i="4"/>
  <c r="AA256" i="4"/>
  <c r="Y256" i="4"/>
  <c r="AA255" i="4"/>
  <c r="Y255" i="4"/>
  <c r="AA254" i="4"/>
  <c r="Y254" i="4"/>
  <c r="AA253" i="4"/>
  <c r="Y253" i="4"/>
  <c r="AA252" i="4"/>
  <c r="Y252" i="4"/>
  <c r="AA251" i="4"/>
  <c r="AA250" i="4"/>
  <c r="AA249" i="4"/>
  <c r="AA248" i="4"/>
  <c r="AA247" i="4"/>
  <c r="AA246" i="4"/>
  <c r="AA245" i="4"/>
  <c r="AA244" i="4"/>
  <c r="AA243" i="4"/>
  <c r="Y243" i="4"/>
  <c r="AA242" i="4"/>
  <c r="AA241" i="4"/>
  <c r="AA240" i="4"/>
  <c r="AA239" i="4"/>
  <c r="AA238" i="4"/>
  <c r="AA237" i="4"/>
  <c r="AA236" i="4"/>
  <c r="AA235" i="4"/>
  <c r="AA234" i="4"/>
  <c r="AA233" i="4"/>
  <c r="AA232" i="4"/>
  <c r="AA231" i="4"/>
  <c r="AA230" i="4"/>
  <c r="AA229" i="4"/>
  <c r="AA228" i="4"/>
  <c r="AA227" i="4"/>
  <c r="AA226" i="4"/>
  <c r="AA225" i="4"/>
  <c r="AA224" i="4"/>
  <c r="Y224" i="4"/>
  <c r="AA223" i="4"/>
  <c r="AA222" i="4"/>
  <c r="Y222" i="4"/>
  <c r="AA221" i="4"/>
  <c r="Y221" i="4"/>
  <c r="AA220" i="4"/>
  <c r="AA219" i="4"/>
  <c r="Y219" i="4"/>
  <c r="AA218" i="4"/>
  <c r="AA217" i="4"/>
  <c r="AA216" i="4"/>
  <c r="AA215" i="4"/>
  <c r="AA214" i="4"/>
  <c r="AA213" i="4"/>
  <c r="AA212" i="4"/>
  <c r="Y212" i="4"/>
  <c r="AA211" i="4"/>
  <c r="AA210" i="4"/>
  <c r="AA209" i="4"/>
  <c r="Y209" i="4"/>
  <c r="AA208" i="4"/>
  <c r="Y208" i="4"/>
  <c r="AA207" i="4"/>
  <c r="Y207" i="4"/>
  <c r="AA206" i="4"/>
  <c r="Y206" i="4"/>
  <c r="AA205" i="4"/>
  <c r="Y205" i="4"/>
  <c r="AA204" i="4"/>
  <c r="AA203" i="4"/>
  <c r="AA202" i="4"/>
  <c r="AA201" i="4"/>
  <c r="AA200" i="4"/>
  <c r="AA199" i="4"/>
  <c r="AA198" i="4"/>
  <c r="AA197" i="4"/>
  <c r="AA196" i="4"/>
  <c r="AA195" i="4"/>
  <c r="Y195" i="4"/>
  <c r="AA194" i="4"/>
  <c r="AA193" i="4"/>
  <c r="AA192" i="4"/>
  <c r="AA191" i="4"/>
  <c r="AA190" i="4"/>
  <c r="AA189" i="4"/>
  <c r="Y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Y144" i="4"/>
  <c r="AA143" i="4"/>
  <c r="AA142" i="4"/>
  <c r="AA141" i="4"/>
  <c r="AA140" i="4"/>
  <c r="AA139" i="4"/>
  <c r="AA138" i="4"/>
  <c r="AA137" i="4"/>
  <c r="AA136" i="4"/>
  <c r="AA135" i="4"/>
  <c r="AA134" i="4"/>
  <c r="AA133" i="4"/>
  <c r="AA132" i="4"/>
  <c r="AA131" i="4"/>
  <c r="Y131" i="4"/>
  <c r="AA130" i="4"/>
  <c r="Y130" i="4"/>
  <c r="AA129" i="4"/>
  <c r="AA128" i="4"/>
  <c r="AA127" i="4"/>
  <c r="AA126" i="4"/>
  <c r="Y126" i="4"/>
  <c r="AA125" i="4"/>
  <c r="Y125" i="4"/>
  <c r="AA124" i="4"/>
  <c r="AA123" i="4"/>
  <c r="AA645" i="4"/>
  <c r="X312" i="15"/>
  <c r="W312" i="15"/>
  <c r="V312" i="15"/>
  <c r="AB644" i="4"/>
  <c r="I644" i="4"/>
  <c r="F644" i="4"/>
  <c r="E644" i="4"/>
  <c r="B644" i="4"/>
  <c r="S101" i="1"/>
  <c r="I75" i="12"/>
  <c r="H75" i="12"/>
  <c r="R101" i="1"/>
  <c r="S89" i="1"/>
  <c r="E89" i="1"/>
  <c r="T89" i="1"/>
  <c r="S93" i="1"/>
  <c r="E93" i="1"/>
  <c r="T93" i="1"/>
  <c r="S115" i="1"/>
  <c r="E115" i="1"/>
  <c r="T115" i="1"/>
  <c r="S91" i="1"/>
  <c r="E91" i="1"/>
  <c r="T91" i="1"/>
  <c r="S79" i="1"/>
  <c r="E79" i="1"/>
  <c r="T79" i="1"/>
  <c r="E2" i="1"/>
  <c r="S2" i="1"/>
  <c r="T2" i="1"/>
  <c r="E3" i="1"/>
  <c r="S3" i="1"/>
  <c r="T3" i="1"/>
  <c r="E4" i="1"/>
  <c r="S4" i="1"/>
  <c r="T4" i="1"/>
  <c r="E5" i="1"/>
  <c r="S5" i="1"/>
  <c r="T5" i="1"/>
  <c r="E6" i="1"/>
  <c r="S6" i="1"/>
  <c r="T6" i="1"/>
  <c r="E7" i="1"/>
  <c r="S7" i="1"/>
  <c r="T7" i="1"/>
  <c r="E8" i="1"/>
  <c r="S8" i="1"/>
  <c r="T8" i="1"/>
  <c r="E9" i="1"/>
  <c r="S9" i="1"/>
  <c r="T9" i="1"/>
  <c r="E10" i="1"/>
  <c r="S10" i="1"/>
  <c r="T10" i="1"/>
  <c r="E11" i="1"/>
  <c r="S11" i="1"/>
  <c r="T11" i="1"/>
  <c r="E12" i="1"/>
  <c r="S12" i="1"/>
  <c r="T12" i="1"/>
  <c r="E13" i="1"/>
  <c r="S13" i="1"/>
  <c r="T13" i="1"/>
  <c r="E14" i="1"/>
  <c r="S14" i="1"/>
  <c r="T14" i="1"/>
  <c r="E15" i="1"/>
  <c r="S15" i="1"/>
  <c r="T15" i="1"/>
  <c r="E16" i="1"/>
  <c r="S16" i="1"/>
  <c r="T16" i="1"/>
  <c r="E17" i="1"/>
  <c r="S17" i="1"/>
  <c r="T17" i="1"/>
  <c r="E18" i="1"/>
  <c r="S18" i="1"/>
  <c r="T18" i="1"/>
  <c r="E19" i="1"/>
  <c r="S19" i="1"/>
  <c r="T19" i="1"/>
  <c r="E20" i="1"/>
  <c r="S20" i="1"/>
  <c r="T20" i="1"/>
  <c r="E21" i="1"/>
  <c r="S21" i="1"/>
  <c r="T21" i="1"/>
  <c r="E22" i="1"/>
  <c r="S22" i="1"/>
  <c r="T22" i="1"/>
  <c r="E23" i="1"/>
  <c r="S23" i="1"/>
  <c r="T23" i="1"/>
  <c r="E24" i="1"/>
  <c r="S24" i="1"/>
  <c r="T24" i="1"/>
  <c r="E25" i="1"/>
  <c r="S25" i="1"/>
  <c r="T25" i="1"/>
  <c r="E26" i="1"/>
  <c r="S26" i="1"/>
  <c r="T26" i="1"/>
  <c r="E27" i="1"/>
  <c r="S27" i="1"/>
  <c r="T27" i="1"/>
  <c r="E28" i="1"/>
  <c r="S28" i="1"/>
  <c r="T28" i="1"/>
  <c r="E29" i="1"/>
  <c r="S29" i="1"/>
  <c r="T29" i="1"/>
  <c r="E30" i="1"/>
  <c r="S30" i="1"/>
  <c r="T30" i="1"/>
  <c r="E31" i="1"/>
  <c r="S31" i="1"/>
  <c r="T31" i="1"/>
  <c r="E32" i="1"/>
  <c r="S32" i="1"/>
  <c r="T32" i="1"/>
  <c r="E33" i="1"/>
  <c r="S33" i="1"/>
  <c r="T33" i="1"/>
  <c r="E34" i="1"/>
  <c r="S34" i="1"/>
  <c r="T34" i="1"/>
  <c r="E35" i="1"/>
  <c r="S35" i="1"/>
  <c r="T35" i="1"/>
  <c r="E36" i="1"/>
  <c r="S36" i="1"/>
  <c r="T36" i="1"/>
  <c r="E37" i="1"/>
  <c r="S37" i="1"/>
  <c r="T37" i="1"/>
  <c r="E38" i="1"/>
  <c r="S38" i="1"/>
  <c r="T38" i="1"/>
  <c r="E39" i="1"/>
  <c r="S39" i="1"/>
  <c r="T39" i="1"/>
  <c r="E40" i="1"/>
  <c r="S40" i="1"/>
  <c r="T40" i="1"/>
  <c r="E41" i="1"/>
  <c r="S41" i="1"/>
  <c r="T41" i="1"/>
  <c r="E42" i="1"/>
  <c r="S42" i="1"/>
  <c r="T42" i="1"/>
  <c r="E43" i="1"/>
  <c r="S43" i="1"/>
  <c r="T43" i="1"/>
  <c r="E44" i="1"/>
  <c r="S44" i="1"/>
  <c r="T44" i="1"/>
  <c r="E45" i="1"/>
  <c r="S45" i="1"/>
  <c r="T45" i="1"/>
  <c r="E46" i="1"/>
  <c r="S46" i="1"/>
  <c r="T46" i="1"/>
  <c r="E47" i="1"/>
  <c r="S47" i="1"/>
  <c r="T47" i="1"/>
  <c r="E48" i="1"/>
  <c r="S48" i="1"/>
  <c r="T48" i="1"/>
  <c r="E49" i="1"/>
  <c r="S49" i="1"/>
  <c r="T49" i="1"/>
  <c r="E50" i="1"/>
  <c r="S50" i="1"/>
  <c r="T50" i="1"/>
  <c r="E51" i="1"/>
  <c r="S51" i="1"/>
  <c r="T51" i="1"/>
  <c r="E52" i="1"/>
  <c r="S52" i="1"/>
  <c r="T52" i="1"/>
  <c r="E53" i="1"/>
  <c r="S53" i="1"/>
  <c r="T53" i="1"/>
  <c r="E54" i="1"/>
  <c r="S54" i="1"/>
  <c r="T54" i="1"/>
  <c r="E55" i="1"/>
  <c r="S55" i="1"/>
  <c r="T55" i="1"/>
  <c r="E56" i="1"/>
  <c r="S56" i="1"/>
  <c r="T56" i="1"/>
  <c r="E57" i="1"/>
  <c r="S57" i="1"/>
  <c r="T57" i="1"/>
  <c r="E58" i="1"/>
  <c r="S58" i="1"/>
  <c r="T58" i="1"/>
  <c r="E59" i="1"/>
  <c r="S59" i="1"/>
  <c r="T59" i="1"/>
  <c r="E60" i="1"/>
  <c r="S60" i="1"/>
  <c r="T60" i="1"/>
  <c r="E61" i="1"/>
  <c r="S61" i="1"/>
  <c r="T61" i="1"/>
  <c r="E62" i="1"/>
  <c r="S62" i="1"/>
  <c r="T62" i="1"/>
  <c r="E63" i="1"/>
  <c r="S63" i="1"/>
  <c r="T63" i="1"/>
  <c r="E64" i="1"/>
  <c r="S64" i="1"/>
  <c r="T64" i="1"/>
  <c r="E65" i="1"/>
  <c r="S65" i="1"/>
  <c r="T65" i="1"/>
  <c r="E66" i="1"/>
  <c r="S66" i="1"/>
  <c r="T66" i="1"/>
  <c r="E67" i="1"/>
  <c r="S67" i="1"/>
  <c r="T67" i="1"/>
  <c r="E68" i="1"/>
  <c r="S68" i="1"/>
  <c r="T68" i="1"/>
  <c r="E69" i="1"/>
  <c r="S69" i="1"/>
  <c r="T69" i="1"/>
  <c r="E70" i="1"/>
  <c r="S70" i="1"/>
  <c r="T70" i="1"/>
  <c r="E71" i="1"/>
  <c r="S71" i="1"/>
  <c r="T71" i="1"/>
  <c r="E72" i="1"/>
  <c r="S72" i="1"/>
  <c r="T72" i="1"/>
  <c r="E73" i="1"/>
  <c r="S73" i="1"/>
  <c r="T73" i="1"/>
  <c r="E74" i="1"/>
  <c r="S74" i="1"/>
  <c r="T74" i="1"/>
  <c r="E75" i="1"/>
  <c r="S75" i="1"/>
  <c r="T75" i="1"/>
  <c r="E76" i="1"/>
  <c r="S76" i="1"/>
  <c r="T76" i="1"/>
  <c r="E77" i="1"/>
  <c r="S77" i="1"/>
  <c r="T77" i="1"/>
  <c r="E78" i="1"/>
  <c r="S78" i="1"/>
  <c r="T78" i="1"/>
  <c r="E80" i="1"/>
  <c r="S80" i="1"/>
  <c r="T80" i="1"/>
  <c r="E81" i="1"/>
  <c r="S81" i="1"/>
  <c r="T81" i="1"/>
  <c r="E82" i="1"/>
  <c r="S82" i="1"/>
  <c r="T82" i="1"/>
  <c r="E83" i="1"/>
  <c r="S83" i="1"/>
  <c r="T83" i="1"/>
  <c r="E84" i="1"/>
  <c r="S84" i="1"/>
  <c r="T84" i="1"/>
  <c r="E85" i="1"/>
  <c r="S85" i="1"/>
  <c r="T85" i="1"/>
  <c r="E86" i="1"/>
  <c r="S86" i="1"/>
  <c r="T86" i="1"/>
  <c r="E87" i="1"/>
  <c r="S87" i="1"/>
  <c r="T87" i="1"/>
  <c r="E88" i="1"/>
  <c r="S88" i="1"/>
  <c r="T88" i="1"/>
  <c r="E90" i="1"/>
  <c r="S90" i="1"/>
  <c r="T90" i="1"/>
  <c r="E92" i="1"/>
  <c r="S92" i="1"/>
  <c r="T92" i="1"/>
  <c r="E94" i="1"/>
  <c r="S94" i="1"/>
  <c r="T94" i="1"/>
  <c r="E95" i="1"/>
  <c r="S95" i="1"/>
  <c r="T95" i="1"/>
  <c r="E96" i="1"/>
  <c r="S96" i="1"/>
  <c r="T96" i="1"/>
  <c r="E97" i="1"/>
  <c r="S97" i="1"/>
  <c r="T97" i="1"/>
  <c r="E98" i="1"/>
  <c r="S98" i="1"/>
  <c r="T98" i="1"/>
  <c r="E99" i="1"/>
  <c r="S99" i="1"/>
  <c r="T99" i="1"/>
  <c r="E100" i="1"/>
  <c r="S100" i="1"/>
  <c r="T100" i="1"/>
  <c r="E101" i="1"/>
  <c r="T101" i="1"/>
  <c r="E102" i="1"/>
  <c r="S102" i="1"/>
  <c r="T102" i="1"/>
  <c r="E103" i="1"/>
  <c r="S103" i="1"/>
  <c r="T103" i="1"/>
  <c r="E104" i="1"/>
  <c r="S104" i="1"/>
  <c r="T104" i="1"/>
  <c r="E105" i="1"/>
  <c r="S105" i="1"/>
  <c r="T105" i="1"/>
  <c r="E106" i="1"/>
  <c r="S106" i="1"/>
  <c r="T106" i="1"/>
  <c r="E107" i="1"/>
  <c r="S107" i="1"/>
  <c r="T107" i="1"/>
  <c r="E108" i="1"/>
  <c r="S108" i="1"/>
  <c r="T108" i="1"/>
  <c r="E109" i="1"/>
  <c r="S109" i="1"/>
  <c r="T109" i="1"/>
  <c r="E110" i="1"/>
  <c r="S110" i="1"/>
  <c r="T110" i="1"/>
  <c r="E111" i="1"/>
  <c r="S111" i="1"/>
  <c r="T111" i="1"/>
  <c r="E112" i="1"/>
  <c r="S112" i="1"/>
  <c r="T112" i="1"/>
  <c r="E113" i="1"/>
  <c r="S113" i="1"/>
  <c r="T113" i="1"/>
  <c r="E114" i="1"/>
  <c r="S114" i="1"/>
  <c r="T114" i="1"/>
  <c r="E116" i="1"/>
  <c r="S116" i="1"/>
  <c r="T116" i="1"/>
  <c r="E117" i="1"/>
  <c r="S117" i="1"/>
  <c r="T117" i="1"/>
  <c r="E118" i="1"/>
  <c r="S118" i="1"/>
  <c r="T118" i="1"/>
  <c r="E119" i="1"/>
  <c r="S119" i="1"/>
  <c r="T119" i="1"/>
  <c r="E120" i="1"/>
  <c r="S120" i="1"/>
  <c r="T120" i="1"/>
  <c r="E121" i="1"/>
  <c r="S121" i="1"/>
  <c r="T121" i="1"/>
  <c r="E122" i="1"/>
  <c r="S122" i="1"/>
  <c r="T122" i="1"/>
  <c r="E123" i="1"/>
  <c r="S123" i="1"/>
  <c r="T123" i="1"/>
  <c r="E124" i="1"/>
  <c r="S124" i="1"/>
  <c r="T124" i="1"/>
  <c r="E125" i="1"/>
  <c r="S125" i="1"/>
  <c r="T125" i="1"/>
  <c r="E126" i="1"/>
  <c r="S126" i="1"/>
  <c r="T126" i="1"/>
  <c r="E127" i="1"/>
  <c r="S127" i="1"/>
  <c r="T127" i="1"/>
  <c r="E128" i="1"/>
  <c r="S128" i="1"/>
  <c r="T128" i="1"/>
  <c r="E129" i="1"/>
  <c r="S129" i="1"/>
  <c r="T129" i="1"/>
  <c r="E130" i="1"/>
  <c r="S130" i="1"/>
  <c r="T130" i="1"/>
  <c r="E131" i="1"/>
  <c r="S131" i="1"/>
  <c r="T131" i="1"/>
  <c r="E132" i="1"/>
  <c r="S132" i="1"/>
  <c r="T132" i="1"/>
  <c r="E133" i="1"/>
  <c r="S133" i="1"/>
  <c r="T133" i="1"/>
  <c r="E134" i="1"/>
  <c r="S134" i="1"/>
  <c r="T134" i="1"/>
  <c r="E135" i="1"/>
  <c r="S135" i="1"/>
  <c r="T135" i="1"/>
  <c r="E136" i="1"/>
  <c r="S136" i="1"/>
  <c r="T136" i="1"/>
  <c r="E137" i="1"/>
  <c r="S137" i="1"/>
  <c r="T137" i="1"/>
  <c r="E138" i="1"/>
  <c r="S138" i="1"/>
  <c r="T138" i="1"/>
  <c r="E139" i="1"/>
  <c r="S139" i="1"/>
  <c r="T139" i="1"/>
  <c r="E140" i="1"/>
  <c r="S140" i="1"/>
  <c r="T140" i="1"/>
  <c r="E141" i="1"/>
  <c r="S141" i="1"/>
  <c r="T141" i="1"/>
  <c r="E142" i="1"/>
  <c r="S142" i="1"/>
  <c r="T142" i="1"/>
  <c r="E143" i="1"/>
  <c r="S143" i="1"/>
  <c r="T143" i="1"/>
  <c r="E144" i="1"/>
  <c r="S144" i="1"/>
  <c r="T144" i="1"/>
  <c r="E145" i="1"/>
  <c r="S145" i="1"/>
  <c r="T145" i="1"/>
  <c r="E146" i="1"/>
  <c r="S146" i="1"/>
  <c r="T146" i="1"/>
  <c r="E147" i="1"/>
  <c r="S147" i="1"/>
  <c r="T147" i="1"/>
  <c r="E148" i="1"/>
  <c r="S148" i="1"/>
  <c r="T148" i="1"/>
  <c r="E149" i="1"/>
  <c r="S149" i="1"/>
  <c r="T149" i="1"/>
  <c r="L2" i="3"/>
  <c r="L3" i="3"/>
  <c r="L4"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I366" i="4"/>
  <c r="F366" i="4"/>
  <c r="E366" i="4"/>
  <c r="B366" i="4"/>
  <c r="AB310" i="4"/>
  <c r="I310" i="4"/>
  <c r="F310" i="4"/>
  <c r="E310" i="4"/>
  <c r="B310" i="4"/>
  <c r="B1106" i="4"/>
  <c r="E1106" i="4"/>
  <c r="F1106" i="4"/>
  <c r="I1106" i="4"/>
  <c r="A5" i="13"/>
  <c r="A6" i="13"/>
  <c r="A7" i="13"/>
  <c r="A8" i="13"/>
  <c r="A9" i="13"/>
  <c r="A10" i="13"/>
  <c r="A11" i="13"/>
  <c r="A12" i="13"/>
  <c r="A13" i="13"/>
  <c r="A14" i="13"/>
  <c r="A15" i="13"/>
  <c r="A16" i="13"/>
  <c r="A17" i="13"/>
  <c r="A18" i="13"/>
  <c r="A19" i="13"/>
  <c r="A20" i="13"/>
  <c r="A21" i="13"/>
  <c r="F2"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B22" i="13"/>
  <c r="R2" i="1"/>
  <c r="D24" i="13"/>
  <c r="D21" i="13"/>
  <c r="D20" i="13"/>
  <c r="D15" i="13"/>
  <c r="D14" i="13"/>
  <c r="D13" i="13"/>
  <c r="D12" i="13"/>
  <c r="D11" i="13"/>
  <c r="D6" i="13"/>
  <c r="D5" i="13"/>
  <c r="D4" i="1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E2" i="3"/>
  <c r="E3" i="3"/>
  <c r="E4" i="3"/>
  <c r="E5" i="3"/>
  <c r="E6" i="3"/>
  <c r="E7" i="3"/>
  <c r="E8" i="3"/>
  <c r="E9" i="3"/>
  <c r="E10" i="3"/>
  <c r="E11" i="3"/>
  <c r="E12" i="3"/>
  <c r="E13" i="3"/>
  <c r="E14" i="3"/>
  <c r="E15" i="3"/>
  <c r="E16" i="3"/>
  <c r="E17" i="3"/>
  <c r="E18" i="3"/>
  <c r="E19" i="3"/>
  <c r="E20" i="3"/>
  <c r="E21" i="3"/>
  <c r="E22" i="3"/>
  <c r="E23" i="3"/>
  <c r="E24" i="3"/>
  <c r="H2" i="3"/>
  <c r="H3" i="3"/>
  <c r="H4" i="3"/>
  <c r="H5" i="3"/>
  <c r="H6" i="3"/>
  <c r="H7" i="3"/>
  <c r="H8" i="3"/>
  <c r="H9" i="3"/>
  <c r="H10" i="3"/>
  <c r="H11" i="3"/>
  <c r="H12" i="3"/>
  <c r="X221" i="3"/>
  <c r="X220" i="3"/>
  <c r="X219" i="3"/>
  <c r="X218" i="3"/>
  <c r="X217" i="3"/>
  <c r="X216" i="3"/>
  <c r="X215" i="3"/>
  <c r="X214" i="3"/>
  <c r="X213" i="3"/>
  <c r="X212" i="3"/>
  <c r="X211" i="3"/>
  <c r="X210" i="3"/>
  <c r="I67" i="12"/>
  <c r="H67" i="12"/>
  <c r="F67" i="12"/>
  <c r="I2" i="12"/>
  <c r="I3" i="12"/>
  <c r="I4" i="12"/>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8" i="12"/>
  <c r="I69" i="12"/>
  <c r="I70" i="12"/>
  <c r="I71" i="12"/>
  <c r="I72" i="12"/>
  <c r="I73" i="12"/>
  <c r="I74"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I101" i="12"/>
  <c r="I102" i="12"/>
  <c r="I103" i="12"/>
  <c r="I104" i="12"/>
  <c r="I105" i="12"/>
  <c r="I572" i="4"/>
  <c r="F572" i="4"/>
  <c r="E572" i="4"/>
  <c r="B572" i="4"/>
  <c r="I516" i="4"/>
  <c r="F516" i="4"/>
  <c r="E516" i="4"/>
  <c r="B516" i="4"/>
  <c r="H2"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4" i="12"/>
  <c r="H73" i="12"/>
  <c r="H72" i="12"/>
  <c r="H71" i="12"/>
  <c r="H70" i="12"/>
  <c r="H69" i="12"/>
  <c r="H68"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H6" i="12"/>
  <c r="H5" i="12"/>
  <c r="H4" i="12"/>
  <c r="H3" i="12"/>
  <c r="B1151" i="4"/>
  <c r="E1151" i="4"/>
  <c r="F1151" i="4"/>
  <c r="I1151" i="4"/>
  <c r="B1038" i="4"/>
  <c r="E1038" i="4"/>
  <c r="F1038" i="4"/>
  <c r="I1038" i="4"/>
  <c r="AB1367" i="4"/>
  <c r="AB1366" i="4"/>
  <c r="AB1365" i="4"/>
  <c r="AB1299" i="4"/>
  <c r="AB1298" i="4"/>
  <c r="AB1297" i="4"/>
  <c r="AB1296" i="4"/>
  <c r="AB1175" i="4"/>
  <c r="AB1174" i="4"/>
  <c r="AB1173" i="4"/>
  <c r="AB1172" i="4"/>
  <c r="AB1171" i="4"/>
  <c r="AB1170" i="4"/>
  <c r="AB1056" i="4"/>
  <c r="AB1055" i="4"/>
  <c r="AB1054" i="4"/>
  <c r="AB946" i="4"/>
  <c r="AB945" i="4"/>
  <c r="AB944" i="4"/>
  <c r="AB943" i="4"/>
  <c r="AB942" i="4"/>
  <c r="AB941" i="4"/>
  <c r="AB940" i="4"/>
  <c r="AB939" i="4"/>
  <c r="AB938" i="4"/>
  <c r="AB937" i="4"/>
  <c r="AB828" i="4"/>
  <c r="AB827" i="4"/>
  <c r="AB826" i="4"/>
  <c r="AB825" i="4"/>
  <c r="AB724" i="4"/>
  <c r="AB723" i="4"/>
  <c r="AB722" i="4"/>
  <c r="AB721" i="4"/>
  <c r="AB719" i="4"/>
  <c r="AB718" i="4"/>
  <c r="AB717" i="4"/>
  <c r="AB716" i="4"/>
  <c r="AB715" i="4"/>
  <c r="AB653" i="4"/>
  <c r="AB652" i="4"/>
  <c r="AB651" i="4"/>
  <c r="AB650" i="4"/>
  <c r="AB649" i="4"/>
  <c r="AB648" i="4"/>
  <c r="AB647" i="4"/>
  <c r="AB646" i="4"/>
  <c r="AB645" i="4"/>
  <c r="AB585" i="4"/>
  <c r="AB584" i="4"/>
  <c r="AB583" i="4"/>
  <c r="AB582" i="4"/>
  <c r="AB581" i="4"/>
  <c r="AB580" i="4"/>
  <c r="AB579" i="4"/>
  <c r="AB578" i="4"/>
  <c r="AB577" i="4"/>
  <c r="AB576" i="4"/>
  <c r="AB575" i="4"/>
  <c r="AB518" i="4"/>
  <c r="AB517" i="4"/>
  <c r="AB515" i="4"/>
  <c r="AB514" i="4"/>
  <c r="AB513" i="4"/>
  <c r="AB512" i="4"/>
  <c r="AB511" i="4"/>
  <c r="AB459" i="4"/>
  <c r="AB458" i="4"/>
  <c r="AB456" i="4"/>
  <c r="AB455" i="4"/>
  <c r="AB380" i="4"/>
  <c r="AB378" i="4"/>
  <c r="AB377" i="4"/>
  <c r="AB376" i="4"/>
  <c r="AB375" i="4"/>
  <c r="AB374" i="4"/>
  <c r="AB373" i="4"/>
  <c r="AB372" i="4"/>
  <c r="AB370" i="4"/>
  <c r="AB369" i="4"/>
  <c r="AB324" i="4"/>
  <c r="AB309" i="4"/>
  <c r="AB308" i="4"/>
  <c r="AB307" i="4"/>
  <c r="AB306" i="4"/>
  <c r="AB305" i="4"/>
  <c r="AB304" i="4"/>
  <c r="AB303" i="4"/>
  <c r="AB302" i="4"/>
  <c r="AB301" i="4"/>
  <c r="AB300" i="4"/>
  <c r="AB252" i="4"/>
  <c r="AB251" i="4"/>
  <c r="AB250" i="4"/>
  <c r="AB249" i="4"/>
  <c r="AB248" i="4"/>
  <c r="AB247" i="4"/>
  <c r="AB246" i="4"/>
  <c r="AB245" i="4"/>
  <c r="AB244" i="4"/>
  <c r="AB243" i="4"/>
  <c r="AB242" i="4"/>
  <c r="AB241" i="4"/>
  <c r="AB204" i="4"/>
  <c r="AB203" i="4"/>
  <c r="AB202" i="4"/>
  <c r="AB201" i="4"/>
  <c r="AB200" i="4"/>
  <c r="AB199" i="4"/>
  <c r="AB198" i="4"/>
  <c r="AB197" i="4"/>
  <c r="AB170" i="4"/>
  <c r="AB169" i="4"/>
  <c r="AB168" i="4"/>
  <c r="AB167" i="4"/>
  <c r="AB166" i="4"/>
  <c r="AB165" i="4"/>
  <c r="AB164" i="4"/>
  <c r="AB163" i="4"/>
  <c r="AB162" i="4"/>
  <c r="AB144" i="4"/>
  <c r="AB143" i="4"/>
  <c r="AB142" i="4"/>
  <c r="AB141" i="4"/>
  <c r="AB140" i="4"/>
  <c r="AB139" i="4"/>
  <c r="AB138" i="4"/>
  <c r="AB137" i="4"/>
  <c r="AB136" i="4"/>
  <c r="AB135" i="4"/>
  <c r="AB134" i="4"/>
  <c r="AB133" i="4"/>
  <c r="AB127" i="4"/>
  <c r="AB126" i="4"/>
  <c r="AB125" i="4"/>
  <c r="AB123" i="4"/>
  <c r="I364" i="4"/>
  <c r="F364" i="4"/>
  <c r="E364" i="4"/>
  <c r="B364" i="4"/>
  <c r="O2" i="13"/>
  <c r="M2" i="13"/>
  <c r="J2" i="13"/>
  <c r="H2" i="13"/>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E1063" i="4"/>
  <c r="I1063" i="4"/>
  <c r="F1063" i="4"/>
  <c r="B1063" i="4"/>
  <c r="E839" i="4"/>
  <c r="I839" i="4"/>
  <c r="F839" i="4"/>
  <c r="B839" i="4"/>
  <c r="E729" i="4"/>
  <c r="I729" i="4"/>
  <c r="F729" i="4"/>
  <c r="B729" i="4"/>
  <c r="E664" i="4"/>
  <c r="I664" i="4"/>
  <c r="F664" i="4"/>
  <c r="B664" i="4"/>
  <c r="E597" i="4"/>
  <c r="I597" i="4"/>
  <c r="F597" i="4"/>
  <c r="B597" i="4"/>
  <c r="E530" i="4"/>
  <c r="I530" i="4"/>
  <c r="F530" i="4"/>
  <c r="B530" i="4"/>
  <c r="E466" i="4"/>
  <c r="I466" i="4"/>
  <c r="F466" i="4"/>
  <c r="B466" i="4"/>
  <c r="E388" i="4"/>
  <c r="I388" i="4"/>
  <c r="F388" i="4"/>
  <c r="B388" i="4"/>
  <c r="E327" i="4"/>
  <c r="I327" i="4"/>
  <c r="F327" i="4"/>
  <c r="B327" i="4"/>
  <c r="E263" i="4"/>
  <c r="I263" i="4"/>
  <c r="F263" i="4"/>
  <c r="B263" i="4"/>
  <c r="E210" i="4"/>
  <c r="I210" i="4"/>
  <c r="F210" i="4"/>
  <c r="B210" i="4"/>
  <c r="E171" i="4"/>
  <c r="I171" i="4"/>
  <c r="F171" i="4"/>
  <c r="B171" i="4"/>
  <c r="E145" i="4"/>
  <c r="I145" i="4"/>
  <c r="F145" i="4"/>
  <c r="B145" i="4"/>
  <c r="E128" i="4"/>
  <c r="I128" i="4"/>
  <c r="F128" i="4"/>
  <c r="B128" i="4"/>
  <c r="E124" i="4"/>
  <c r="I124" i="4"/>
  <c r="F124" i="4"/>
  <c r="B124" i="4"/>
  <c r="O2" i="1"/>
  <c r="I136" i="3"/>
  <c r="I134" i="3"/>
  <c r="I133" i="3"/>
  <c r="I132" i="3"/>
  <c r="I131" i="3"/>
  <c r="K137" i="3"/>
  <c r="I137" i="3"/>
  <c r="M136" i="3"/>
  <c r="K136" i="3"/>
  <c r="K135" i="3"/>
  <c r="I135" i="3"/>
  <c r="M134" i="3"/>
  <c r="K134" i="3"/>
  <c r="M133" i="3"/>
  <c r="K133" i="3"/>
  <c r="M132" i="3"/>
  <c r="K132" i="3"/>
  <c r="M131" i="3"/>
  <c r="K131" i="3"/>
  <c r="K130" i="3"/>
  <c r="I130" i="3"/>
  <c r="K129" i="3"/>
  <c r="I129" i="3"/>
  <c r="K128" i="3"/>
  <c r="I128" i="3"/>
  <c r="K127" i="3"/>
  <c r="I127" i="3"/>
  <c r="K126" i="3"/>
  <c r="I126" i="3"/>
  <c r="M125" i="3"/>
  <c r="K125" i="3"/>
  <c r="I125" i="3"/>
  <c r="K114" i="3"/>
  <c r="M114" i="3"/>
  <c r="K115" i="3"/>
  <c r="M115" i="3"/>
  <c r="K116" i="3"/>
  <c r="M116" i="3"/>
  <c r="K117" i="3"/>
  <c r="M117" i="3"/>
  <c r="K118" i="3"/>
  <c r="M118" i="3"/>
  <c r="K119" i="3"/>
  <c r="M119" i="3"/>
  <c r="K120" i="3"/>
  <c r="M120" i="3"/>
  <c r="K121" i="3"/>
  <c r="M121" i="3"/>
  <c r="K122" i="3"/>
  <c r="M122" i="3"/>
  <c r="I123" i="3"/>
  <c r="K123" i="3"/>
  <c r="M123" i="3"/>
  <c r="I124" i="3"/>
  <c r="K124" i="3"/>
  <c r="M124" i="3"/>
  <c r="M113" i="3"/>
  <c r="K113" i="3"/>
  <c r="M112" i="3"/>
  <c r="K112" i="3"/>
  <c r="M111" i="3"/>
  <c r="K111" i="3"/>
  <c r="M110" i="3"/>
  <c r="K110" i="3"/>
  <c r="M109" i="3"/>
  <c r="K109" i="3"/>
  <c r="M108" i="3"/>
  <c r="K108" i="3"/>
  <c r="M107" i="3"/>
  <c r="K107" i="3"/>
  <c r="M106" i="3"/>
  <c r="K106" i="3"/>
  <c r="M105" i="3"/>
  <c r="K105" i="3"/>
  <c r="M104" i="3"/>
  <c r="K104" i="3"/>
  <c r="M103" i="3"/>
  <c r="K103" i="3"/>
  <c r="M102" i="3"/>
  <c r="K102" i="3"/>
  <c r="M101" i="3"/>
  <c r="K101" i="3"/>
  <c r="M100" i="3"/>
  <c r="K100" i="3"/>
  <c r="M99" i="3"/>
  <c r="K99" i="3"/>
  <c r="M98" i="3"/>
  <c r="K98" i="3"/>
  <c r="M97" i="3"/>
  <c r="K97" i="3"/>
  <c r="M96" i="3"/>
  <c r="K96" i="3"/>
  <c r="M95" i="3"/>
  <c r="K95" i="3"/>
  <c r="M94" i="3"/>
  <c r="K94" i="3"/>
  <c r="M93" i="3"/>
  <c r="K93" i="3"/>
  <c r="M92" i="3"/>
  <c r="K92" i="3"/>
  <c r="M91" i="3"/>
  <c r="K91" i="3"/>
  <c r="M90" i="3"/>
  <c r="K90" i="3"/>
  <c r="M89" i="3"/>
  <c r="K89" i="3"/>
  <c r="M88" i="3"/>
  <c r="K88" i="3"/>
  <c r="M87" i="3"/>
  <c r="K87" i="3"/>
  <c r="M86" i="3"/>
  <c r="K86" i="3"/>
  <c r="M85" i="3"/>
  <c r="K85" i="3"/>
  <c r="M84" i="3"/>
  <c r="K84" i="3"/>
  <c r="M83" i="3"/>
  <c r="K83" i="3"/>
  <c r="M82" i="3"/>
  <c r="K82" i="3"/>
  <c r="M81"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F12" i="3"/>
  <c r="G12" i="3"/>
  <c r="K12" i="3"/>
  <c r="F11" i="3"/>
  <c r="G11" i="3"/>
  <c r="K11" i="3"/>
  <c r="F10" i="3"/>
  <c r="G10" i="3"/>
  <c r="K10" i="3"/>
  <c r="F9" i="3"/>
  <c r="G9" i="3"/>
  <c r="K9" i="3"/>
  <c r="F8" i="3"/>
  <c r="G8" i="3"/>
  <c r="K8" i="3"/>
  <c r="F7" i="3"/>
  <c r="G7" i="3"/>
  <c r="K7" i="3"/>
  <c r="F6" i="3"/>
  <c r="G6" i="3"/>
  <c r="K6" i="3"/>
  <c r="F5" i="3"/>
  <c r="G5" i="3"/>
  <c r="K5" i="3"/>
  <c r="F4" i="3"/>
  <c r="G4" i="3"/>
  <c r="K4" i="3"/>
  <c r="F3" i="3"/>
  <c r="G3" i="3"/>
  <c r="K3" i="3"/>
  <c r="F2" i="3"/>
  <c r="G2" i="3"/>
  <c r="K2" i="3"/>
  <c r="M80" i="3"/>
  <c r="M79" i="3"/>
  <c r="M78" i="3"/>
  <c r="M77" i="3"/>
  <c r="M76" i="3"/>
  <c r="M75" i="3"/>
  <c r="M74" i="3"/>
  <c r="M73" i="3"/>
  <c r="M72" i="3"/>
  <c r="M71" i="3"/>
  <c r="M70" i="3"/>
  <c r="M69" i="3"/>
  <c r="M68" i="3"/>
  <c r="M67" i="3"/>
  <c r="M66" i="3"/>
  <c r="M65" i="3"/>
  <c r="M64" i="3"/>
  <c r="M63" i="3"/>
  <c r="M62" i="3"/>
  <c r="M61" i="3"/>
  <c r="M60" i="3"/>
  <c r="M59" i="3"/>
  <c r="F64" i="12"/>
  <c r="F65" i="12"/>
  <c r="F66" i="12"/>
  <c r="F68" i="12"/>
  <c r="F69" i="12"/>
  <c r="F70" i="12"/>
  <c r="F71" i="12"/>
  <c r="F72" i="12"/>
  <c r="F73" i="12"/>
  <c r="F74" i="12"/>
  <c r="F76" i="12"/>
  <c r="F77" i="12"/>
  <c r="F78" i="12"/>
  <c r="F79" i="12"/>
  <c r="F80" i="12"/>
  <c r="F81" i="12"/>
  <c r="F82" i="12"/>
  <c r="F83" i="12"/>
  <c r="F84" i="12"/>
  <c r="F85" i="12"/>
  <c r="F86" i="12"/>
  <c r="F87" i="12"/>
  <c r="F88" i="12"/>
  <c r="F89" i="12"/>
  <c r="F90" i="12"/>
  <c r="F91" i="12"/>
  <c r="F92" i="12"/>
  <c r="F93" i="12"/>
  <c r="F94" i="12"/>
  <c r="F95" i="12"/>
  <c r="F96" i="12"/>
  <c r="F97" i="12"/>
  <c r="F98" i="12"/>
  <c r="F99" i="12"/>
  <c r="F100" i="12"/>
  <c r="F101" i="12"/>
  <c r="F102" i="12"/>
  <c r="F103" i="12"/>
  <c r="F104" i="12"/>
  <c r="F105" i="12"/>
  <c r="C96" i="12"/>
  <c r="M58" i="3"/>
  <c r="M57" i="3"/>
  <c r="M56" i="3"/>
  <c r="M55" i="3"/>
  <c r="M54" i="3"/>
  <c r="M53" i="3"/>
  <c r="M52" i="3"/>
  <c r="M51" i="3"/>
  <c r="M50" i="3"/>
  <c r="M49" i="3"/>
  <c r="M48" i="3"/>
  <c r="E125" i="4"/>
  <c r="E126" i="4"/>
  <c r="E127" i="4"/>
  <c r="N127" i="4"/>
  <c r="E129" i="4"/>
  <c r="E130" i="4"/>
  <c r="E131" i="4"/>
  <c r="E132" i="4"/>
  <c r="E133" i="4"/>
  <c r="E134" i="4"/>
  <c r="E135" i="4"/>
  <c r="E136" i="4"/>
  <c r="E137" i="4"/>
  <c r="E138" i="4"/>
  <c r="E139" i="4"/>
  <c r="E140" i="4"/>
  <c r="E141" i="4"/>
  <c r="E142" i="4"/>
  <c r="E143" i="4"/>
  <c r="E144"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1" i="4"/>
  <c r="E312" i="4"/>
  <c r="E313" i="4"/>
  <c r="E314" i="4"/>
  <c r="E315" i="4"/>
  <c r="E316" i="4"/>
  <c r="E317" i="4"/>
  <c r="E318" i="4"/>
  <c r="E319" i="4"/>
  <c r="E320" i="4"/>
  <c r="E321" i="4"/>
  <c r="E322" i="4"/>
  <c r="E323" i="4"/>
  <c r="E324" i="4"/>
  <c r="E325" i="4"/>
  <c r="E326"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5" i="4"/>
  <c r="E367" i="4"/>
  <c r="E368" i="4"/>
  <c r="E369" i="4"/>
  <c r="E370" i="4"/>
  <c r="E371" i="4"/>
  <c r="E372" i="4"/>
  <c r="E373" i="4"/>
  <c r="E374" i="4"/>
  <c r="E375" i="4"/>
  <c r="E376" i="4"/>
  <c r="E377" i="4"/>
  <c r="E378" i="4"/>
  <c r="E379" i="4"/>
  <c r="E380" i="4"/>
  <c r="E381" i="4"/>
  <c r="E382" i="4"/>
  <c r="E383" i="4"/>
  <c r="E384" i="4"/>
  <c r="E385" i="4"/>
  <c r="E386" i="4"/>
  <c r="E387"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459" i="4"/>
  <c r="E460" i="4"/>
  <c r="E461" i="4"/>
  <c r="E462" i="4"/>
  <c r="E463" i="4"/>
  <c r="E464" i="4"/>
  <c r="E465" i="4"/>
  <c r="E467" i="4"/>
  <c r="E468" i="4"/>
  <c r="E470" i="4"/>
  <c r="E471" i="4"/>
  <c r="E472" i="4"/>
  <c r="E473" i="4"/>
  <c r="E474" i="4"/>
  <c r="E475" i="4"/>
  <c r="E476" i="4"/>
  <c r="E477" i="4"/>
  <c r="E478" i="4"/>
  <c r="E479" i="4"/>
  <c r="E480" i="4"/>
  <c r="E481" i="4"/>
  <c r="E482" i="4"/>
  <c r="E483" i="4"/>
  <c r="E484" i="4"/>
  <c r="E485" i="4"/>
  <c r="E486" i="4"/>
  <c r="E487" i="4"/>
  <c r="E488" i="4"/>
  <c r="E489" i="4"/>
  <c r="E490" i="4"/>
  <c r="E491" i="4"/>
  <c r="E492" i="4"/>
  <c r="E493" i="4"/>
  <c r="E494" i="4"/>
  <c r="E495" i="4"/>
  <c r="E496" i="4"/>
  <c r="E497" i="4"/>
  <c r="E498" i="4"/>
  <c r="E499" i="4"/>
  <c r="E500" i="4"/>
  <c r="E501" i="4"/>
  <c r="E502" i="4"/>
  <c r="E503" i="4"/>
  <c r="E504" i="4"/>
  <c r="E505" i="4"/>
  <c r="E506" i="4"/>
  <c r="E507" i="4"/>
  <c r="E508" i="4"/>
  <c r="E509" i="4"/>
  <c r="E510" i="4"/>
  <c r="E511" i="4"/>
  <c r="E512" i="4"/>
  <c r="E513" i="4"/>
  <c r="E514" i="4"/>
  <c r="E515" i="4"/>
  <c r="E517" i="4"/>
  <c r="E518" i="4"/>
  <c r="E519" i="4"/>
  <c r="E520" i="4"/>
  <c r="E521" i="4"/>
  <c r="E522" i="4"/>
  <c r="E523" i="4"/>
  <c r="E524" i="4"/>
  <c r="E525" i="4"/>
  <c r="E526" i="4"/>
  <c r="E527" i="4"/>
  <c r="E528" i="4"/>
  <c r="E529" i="4"/>
  <c r="E531" i="4"/>
  <c r="E532" i="4"/>
  <c r="E534" i="4"/>
  <c r="E535" i="4"/>
  <c r="E536" i="4"/>
  <c r="E537" i="4"/>
  <c r="E538" i="4"/>
  <c r="E539" i="4"/>
  <c r="E540" i="4"/>
  <c r="E541" i="4"/>
  <c r="E542" i="4"/>
  <c r="E543" i="4"/>
  <c r="E544" i="4"/>
  <c r="E545" i="4"/>
  <c r="E546" i="4"/>
  <c r="E547" i="4"/>
  <c r="E548" i="4"/>
  <c r="E549" i="4"/>
  <c r="E550" i="4"/>
  <c r="E551" i="4"/>
  <c r="E552" i="4"/>
  <c r="E553" i="4"/>
  <c r="E554" i="4"/>
  <c r="E555" i="4"/>
  <c r="E556" i="4"/>
  <c r="E557" i="4"/>
  <c r="E558" i="4"/>
  <c r="E559" i="4"/>
  <c r="E560" i="4"/>
  <c r="E561" i="4"/>
  <c r="E562" i="4"/>
  <c r="E563" i="4"/>
  <c r="E564" i="4"/>
  <c r="E565" i="4"/>
  <c r="E566" i="4"/>
  <c r="E567" i="4"/>
  <c r="E568" i="4"/>
  <c r="E569" i="4"/>
  <c r="E570" i="4"/>
  <c r="E571" i="4"/>
  <c r="E573" i="4"/>
  <c r="E574" i="4"/>
  <c r="E575" i="4"/>
  <c r="E576" i="4"/>
  <c r="E577" i="4"/>
  <c r="E578" i="4"/>
  <c r="E579" i="4"/>
  <c r="E580" i="4"/>
  <c r="E581" i="4"/>
  <c r="E582" i="4"/>
  <c r="E583" i="4"/>
  <c r="E584" i="4"/>
  <c r="E585" i="4"/>
  <c r="E586" i="4"/>
  <c r="E587" i="4"/>
  <c r="E588" i="4"/>
  <c r="E589" i="4"/>
  <c r="E590" i="4"/>
  <c r="E591" i="4"/>
  <c r="E592" i="4"/>
  <c r="E593" i="4"/>
  <c r="E594" i="4"/>
  <c r="E595" i="4"/>
  <c r="E596" i="4"/>
  <c r="E598" i="4"/>
  <c r="E599" i="4"/>
  <c r="E600" i="4"/>
  <c r="E601" i="4"/>
  <c r="E602" i="4"/>
  <c r="E603" i="4"/>
  <c r="E604" i="4"/>
  <c r="E605" i="4"/>
  <c r="E606" i="4"/>
  <c r="E607" i="4"/>
  <c r="E608" i="4"/>
  <c r="E609" i="4"/>
  <c r="E610" i="4"/>
  <c r="E611" i="4"/>
  <c r="E612" i="4"/>
  <c r="E613" i="4"/>
  <c r="E614" i="4"/>
  <c r="E615" i="4"/>
  <c r="E616" i="4"/>
  <c r="E617" i="4"/>
  <c r="E618" i="4"/>
  <c r="E619" i="4"/>
  <c r="E620" i="4"/>
  <c r="E621" i="4"/>
  <c r="E622" i="4"/>
  <c r="E623" i="4"/>
  <c r="E624" i="4"/>
  <c r="E625" i="4"/>
  <c r="E626" i="4"/>
  <c r="E627" i="4"/>
  <c r="E628" i="4"/>
  <c r="E629" i="4"/>
  <c r="E630" i="4"/>
  <c r="E631" i="4"/>
  <c r="E632" i="4"/>
  <c r="E633" i="4"/>
  <c r="E634" i="4"/>
  <c r="E635" i="4"/>
  <c r="E636" i="4"/>
  <c r="E637" i="4"/>
  <c r="E638" i="4"/>
  <c r="E639" i="4"/>
  <c r="E640" i="4"/>
  <c r="E641" i="4"/>
  <c r="E642" i="4"/>
  <c r="E643" i="4"/>
  <c r="E645" i="4"/>
  <c r="E646" i="4"/>
  <c r="E647" i="4"/>
  <c r="E648" i="4"/>
  <c r="E649" i="4"/>
  <c r="E650" i="4"/>
  <c r="E651" i="4"/>
  <c r="E652" i="4"/>
  <c r="E653" i="4"/>
  <c r="E654" i="4"/>
  <c r="E655" i="4"/>
  <c r="E656" i="4"/>
  <c r="E657" i="4"/>
  <c r="E658" i="4"/>
  <c r="E659" i="4"/>
  <c r="E660" i="4"/>
  <c r="E661" i="4"/>
  <c r="E662" i="4"/>
  <c r="E663" i="4"/>
  <c r="E665" i="4"/>
  <c r="E666" i="4"/>
  <c r="E667" i="4"/>
  <c r="E668" i="4"/>
  <c r="E669" i="4"/>
  <c r="E670" i="4"/>
  <c r="E671" i="4"/>
  <c r="E672" i="4"/>
  <c r="E673" i="4"/>
  <c r="E674" i="4"/>
  <c r="E675" i="4"/>
  <c r="E676" i="4"/>
  <c r="E677" i="4"/>
  <c r="E678" i="4"/>
  <c r="E679" i="4"/>
  <c r="E680" i="4"/>
  <c r="E681" i="4"/>
  <c r="E682" i="4"/>
  <c r="E683" i="4"/>
  <c r="E684" i="4"/>
  <c r="E685" i="4"/>
  <c r="E686" i="4"/>
  <c r="E687" i="4"/>
  <c r="E688" i="4"/>
  <c r="E689" i="4"/>
  <c r="E690" i="4"/>
  <c r="E691" i="4"/>
  <c r="E692" i="4"/>
  <c r="E693" i="4"/>
  <c r="E694" i="4"/>
  <c r="E695" i="4"/>
  <c r="E696" i="4"/>
  <c r="E697" i="4"/>
  <c r="E698" i="4"/>
  <c r="E699" i="4"/>
  <c r="E700" i="4"/>
  <c r="E701" i="4"/>
  <c r="E702" i="4"/>
  <c r="E703" i="4"/>
  <c r="E704" i="4"/>
  <c r="E706" i="4"/>
  <c r="E707" i="4"/>
  <c r="E708" i="4"/>
  <c r="E709" i="4"/>
  <c r="E710" i="4"/>
  <c r="E711" i="4"/>
  <c r="E712" i="4"/>
  <c r="E713" i="4"/>
  <c r="E714" i="4"/>
  <c r="E715" i="4"/>
  <c r="E716" i="4"/>
  <c r="E717" i="4"/>
  <c r="E718" i="4"/>
  <c r="E719" i="4"/>
  <c r="E720" i="4"/>
  <c r="E721" i="4"/>
  <c r="E722" i="4"/>
  <c r="E723" i="4"/>
  <c r="E724" i="4"/>
  <c r="E725" i="4"/>
  <c r="E726" i="4"/>
  <c r="E727" i="4"/>
  <c r="E728" i="4"/>
  <c r="E730" i="4"/>
  <c r="E731" i="4"/>
  <c r="E732" i="4"/>
  <c r="E733" i="4"/>
  <c r="E734" i="4"/>
  <c r="E735" i="4"/>
  <c r="E736" i="4"/>
  <c r="E737" i="4"/>
  <c r="E738" i="4"/>
  <c r="E739" i="4"/>
  <c r="E740" i="4"/>
  <c r="E741" i="4"/>
  <c r="E742" i="4"/>
  <c r="E743" i="4"/>
  <c r="E744" i="4"/>
  <c r="E745" i="4"/>
  <c r="E746" i="4"/>
  <c r="E747" i="4"/>
  <c r="E748" i="4"/>
  <c r="E749" i="4"/>
  <c r="E750" i="4"/>
  <c r="E751" i="4"/>
  <c r="E752" i="4"/>
  <c r="E753" i="4"/>
  <c r="E754" i="4"/>
  <c r="E755" i="4"/>
  <c r="E756" i="4"/>
  <c r="E757" i="4"/>
  <c r="E758" i="4"/>
  <c r="E759" i="4"/>
  <c r="E760" i="4"/>
  <c r="E761" i="4"/>
  <c r="E762" i="4"/>
  <c r="E763" i="4"/>
  <c r="E764" i="4"/>
  <c r="E765" i="4"/>
  <c r="E766" i="4"/>
  <c r="E767" i="4"/>
  <c r="E768" i="4"/>
  <c r="E769" i="4"/>
  <c r="E770" i="4"/>
  <c r="E771" i="4"/>
  <c r="E772" i="4"/>
  <c r="E773" i="4"/>
  <c r="E774" i="4"/>
  <c r="E775" i="4"/>
  <c r="E776" i="4"/>
  <c r="E777" i="4"/>
  <c r="E778" i="4"/>
  <c r="E779" i="4"/>
  <c r="E780" i="4"/>
  <c r="E781" i="4"/>
  <c r="E782" i="4"/>
  <c r="E783" i="4"/>
  <c r="E784" i="4"/>
  <c r="E785" i="4"/>
  <c r="E786" i="4"/>
  <c r="E787" i="4"/>
  <c r="E788" i="4"/>
  <c r="E789" i="4"/>
  <c r="E790" i="4"/>
  <c r="E791" i="4"/>
  <c r="E792" i="4"/>
  <c r="E793" i="4"/>
  <c r="E794" i="4"/>
  <c r="E795" i="4"/>
  <c r="E796" i="4"/>
  <c r="E797" i="4"/>
  <c r="E798" i="4"/>
  <c r="E799" i="4"/>
  <c r="E800" i="4"/>
  <c r="E801" i="4"/>
  <c r="E802" i="4"/>
  <c r="E803" i="4"/>
  <c r="E804" i="4"/>
  <c r="E805" i="4"/>
  <c r="E806" i="4"/>
  <c r="E807" i="4"/>
  <c r="E808" i="4"/>
  <c r="E809" i="4"/>
  <c r="E810" i="4"/>
  <c r="E811" i="4"/>
  <c r="E812" i="4"/>
  <c r="E813" i="4"/>
  <c r="E814" i="4"/>
  <c r="E815" i="4"/>
  <c r="E816" i="4"/>
  <c r="E817" i="4"/>
  <c r="E818" i="4"/>
  <c r="E819" i="4"/>
  <c r="E820" i="4"/>
  <c r="E821" i="4"/>
  <c r="E822" i="4"/>
  <c r="E823" i="4"/>
  <c r="E824" i="4"/>
  <c r="E825" i="4"/>
  <c r="E826" i="4"/>
  <c r="E827" i="4"/>
  <c r="E828" i="4"/>
  <c r="E829" i="4"/>
  <c r="E830" i="4"/>
  <c r="E831" i="4"/>
  <c r="E832" i="4"/>
  <c r="E833" i="4"/>
  <c r="E834" i="4"/>
  <c r="E835" i="4"/>
  <c r="E836" i="4"/>
  <c r="E837" i="4"/>
  <c r="E838" i="4"/>
  <c r="E840" i="4"/>
  <c r="E841" i="4"/>
  <c r="E842" i="4"/>
  <c r="E843" i="4"/>
  <c r="E844" i="4"/>
  <c r="E845" i="4"/>
  <c r="E846" i="4"/>
  <c r="E847" i="4"/>
  <c r="E848" i="4"/>
  <c r="E849" i="4"/>
  <c r="E850" i="4"/>
  <c r="E851" i="4"/>
  <c r="E852" i="4"/>
  <c r="E853" i="4"/>
  <c r="E854" i="4"/>
  <c r="E855" i="4"/>
  <c r="E856" i="4"/>
  <c r="E857" i="4"/>
  <c r="E858" i="4"/>
  <c r="E859" i="4"/>
  <c r="E860" i="4"/>
  <c r="E861" i="4"/>
  <c r="E862" i="4"/>
  <c r="E863" i="4"/>
  <c r="E864" i="4"/>
  <c r="E865" i="4"/>
  <c r="E866" i="4"/>
  <c r="E867" i="4"/>
  <c r="E868" i="4"/>
  <c r="E869" i="4"/>
  <c r="E870" i="4"/>
  <c r="E871" i="4"/>
  <c r="E872" i="4"/>
  <c r="E873" i="4"/>
  <c r="E874" i="4"/>
  <c r="E875" i="4"/>
  <c r="E876" i="4"/>
  <c r="E877" i="4"/>
  <c r="E878" i="4"/>
  <c r="E879" i="4"/>
  <c r="E880" i="4"/>
  <c r="E881" i="4"/>
  <c r="E882" i="4"/>
  <c r="E883" i="4"/>
  <c r="E884" i="4"/>
  <c r="E885" i="4"/>
  <c r="E886" i="4"/>
  <c r="E887" i="4"/>
  <c r="E888" i="4"/>
  <c r="E889" i="4"/>
  <c r="E890" i="4"/>
  <c r="E891" i="4"/>
  <c r="E892" i="4"/>
  <c r="E893" i="4"/>
  <c r="E894" i="4"/>
  <c r="E895" i="4"/>
  <c r="E896" i="4"/>
  <c r="E897" i="4"/>
  <c r="E898" i="4"/>
  <c r="E899" i="4"/>
  <c r="E900" i="4"/>
  <c r="E901" i="4"/>
  <c r="E902" i="4"/>
  <c r="E903" i="4"/>
  <c r="E904" i="4"/>
  <c r="E905" i="4"/>
  <c r="E906" i="4"/>
  <c r="E907" i="4"/>
  <c r="E908" i="4"/>
  <c r="E909" i="4"/>
  <c r="E910" i="4"/>
  <c r="E911" i="4"/>
  <c r="E912" i="4"/>
  <c r="E913" i="4"/>
  <c r="E914" i="4"/>
  <c r="E915" i="4"/>
  <c r="E916" i="4"/>
  <c r="E917" i="4"/>
  <c r="E918" i="4"/>
  <c r="E919" i="4"/>
  <c r="E920" i="4"/>
  <c r="E921" i="4"/>
  <c r="E922" i="4"/>
  <c r="E923" i="4"/>
  <c r="E924" i="4"/>
  <c r="E925" i="4"/>
  <c r="E926" i="4"/>
  <c r="E927" i="4"/>
  <c r="E928" i="4"/>
  <c r="E929" i="4"/>
  <c r="E930" i="4"/>
  <c r="E931" i="4"/>
  <c r="E932" i="4"/>
  <c r="E933" i="4"/>
  <c r="E934" i="4"/>
  <c r="E935" i="4"/>
  <c r="E936" i="4"/>
  <c r="E937" i="4"/>
  <c r="E938" i="4"/>
  <c r="E939" i="4"/>
  <c r="E940" i="4"/>
  <c r="E941" i="4"/>
  <c r="E942" i="4"/>
  <c r="E943" i="4"/>
  <c r="E944" i="4"/>
  <c r="E945" i="4"/>
  <c r="E946" i="4"/>
  <c r="E947" i="4"/>
  <c r="E948" i="4"/>
  <c r="E949" i="4"/>
  <c r="E950" i="4"/>
  <c r="E951" i="4"/>
  <c r="E952" i="4"/>
  <c r="E953" i="4"/>
  <c r="E954" i="4"/>
  <c r="E955" i="4"/>
  <c r="E956" i="4"/>
  <c r="E957" i="4"/>
  <c r="E958" i="4"/>
  <c r="E959" i="4"/>
  <c r="E960" i="4"/>
  <c r="E961" i="4"/>
  <c r="E962" i="4"/>
  <c r="E963" i="4"/>
  <c r="E964" i="4"/>
  <c r="E965" i="4"/>
  <c r="E966" i="4"/>
  <c r="E967" i="4"/>
  <c r="E968" i="4"/>
  <c r="E969" i="4"/>
  <c r="E970" i="4"/>
  <c r="E971" i="4"/>
  <c r="E972" i="4"/>
  <c r="E973" i="4"/>
  <c r="E974" i="4"/>
  <c r="E975" i="4"/>
  <c r="E976" i="4"/>
  <c r="E977" i="4"/>
  <c r="E978" i="4"/>
  <c r="E979" i="4"/>
  <c r="E980" i="4"/>
  <c r="E981" i="4"/>
  <c r="E982" i="4"/>
  <c r="E983" i="4"/>
  <c r="E984" i="4"/>
  <c r="E985" i="4"/>
  <c r="E986" i="4"/>
  <c r="E987" i="4"/>
  <c r="E988" i="4"/>
  <c r="E989" i="4"/>
  <c r="E990" i="4"/>
  <c r="E991" i="4"/>
  <c r="E992" i="4"/>
  <c r="E993" i="4"/>
  <c r="E994" i="4"/>
  <c r="E995" i="4"/>
  <c r="E996" i="4"/>
  <c r="E997" i="4"/>
  <c r="E998" i="4"/>
  <c r="E999" i="4"/>
  <c r="E1000" i="4"/>
  <c r="E1001" i="4"/>
  <c r="E1002" i="4"/>
  <c r="E1003" i="4"/>
  <c r="E1004" i="4"/>
  <c r="E1005" i="4"/>
  <c r="E1006" i="4"/>
  <c r="E1007" i="4"/>
  <c r="E1008" i="4"/>
  <c r="E1009" i="4"/>
  <c r="E1010" i="4"/>
  <c r="E1011" i="4"/>
  <c r="E1012" i="4"/>
  <c r="E1013" i="4"/>
  <c r="E1014" i="4"/>
  <c r="E1015" i="4"/>
  <c r="E1016" i="4"/>
  <c r="E1017" i="4"/>
  <c r="E1018" i="4"/>
  <c r="E1019" i="4"/>
  <c r="E1020" i="4"/>
  <c r="E1021" i="4"/>
  <c r="E1022" i="4"/>
  <c r="E1023" i="4"/>
  <c r="E1024" i="4"/>
  <c r="E1025" i="4"/>
  <c r="E1026" i="4"/>
  <c r="E1027" i="4"/>
  <c r="E1028" i="4"/>
  <c r="E1029" i="4"/>
  <c r="E1030" i="4"/>
  <c r="E1031" i="4"/>
  <c r="E1032" i="4"/>
  <c r="E1033" i="4"/>
  <c r="E1034" i="4"/>
  <c r="E1035" i="4"/>
  <c r="E1036" i="4"/>
  <c r="E1037" i="4"/>
  <c r="E1039" i="4"/>
  <c r="E1040" i="4"/>
  <c r="E1041" i="4"/>
  <c r="E1042" i="4"/>
  <c r="E1043" i="4"/>
  <c r="E1044" i="4"/>
  <c r="E1045" i="4"/>
  <c r="E1046" i="4"/>
  <c r="E1047" i="4"/>
  <c r="E1048" i="4"/>
  <c r="E1049" i="4"/>
  <c r="E1050" i="4"/>
  <c r="E1051" i="4"/>
  <c r="E1052" i="4"/>
  <c r="E1053" i="4"/>
  <c r="E1054" i="4"/>
  <c r="E1055" i="4"/>
  <c r="E1056" i="4"/>
  <c r="E1057" i="4"/>
  <c r="E1058" i="4"/>
  <c r="E1059" i="4"/>
  <c r="E1060" i="4"/>
  <c r="E1061" i="4"/>
  <c r="E1062" i="4"/>
  <c r="E1064" i="4"/>
  <c r="E1065" i="4"/>
  <c r="E1066" i="4"/>
  <c r="E1067" i="4"/>
  <c r="E1068" i="4"/>
  <c r="E1069" i="4"/>
  <c r="E1070" i="4"/>
  <c r="E1071" i="4"/>
  <c r="E1072" i="4"/>
  <c r="E1073" i="4"/>
  <c r="E1074" i="4"/>
  <c r="E1075" i="4"/>
  <c r="E1076" i="4"/>
  <c r="E1077" i="4"/>
  <c r="E1078" i="4"/>
  <c r="E1079" i="4"/>
  <c r="E1080" i="4"/>
  <c r="E1081" i="4"/>
  <c r="E1082" i="4"/>
  <c r="E1083" i="4"/>
  <c r="E1084" i="4"/>
  <c r="E1085" i="4"/>
  <c r="E1086" i="4"/>
  <c r="E1087" i="4"/>
  <c r="E1088" i="4"/>
  <c r="E1089" i="4"/>
  <c r="E1090" i="4"/>
  <c r="E1091" i="4"/>
  <c r="E1092" i="4"/>
  <c r="E1093" i="4"/>
  <c r="E1094" i="4"/>
  <c r="E1095" i="4"/>
  <c r="E1096" i="4"/>
  <c r="E1097" i="4"/>
  <c r="E1098" i="4"/>
  <c r="E1099" i="4"/>
  <c r="E1100" i="4"/>
  <c r="E1101" i="4"/>
  <c r="E1102" i="4"/>
  <c r="E1103" i="4"/>
  <c r="E1104" i="4"/>
  <c r="E1105" i="4"/>
  <c r="E1107" i="4"/>
  <c r="E1108" i="4"/>
  <c r="E1109" i="4"/>
  <c r="E1110" i="4"/>
  <c r="E1111" i="4"/>
  <c r="E1112" i="4"/>
  <c r="E1113" i="4"/>
  <c r="E1114" i="4"/>
  <c r="E1115" i="4"/>
  <c r="E1116" i="4"/>
  <c r="E1117" i="4"/>
  <c r="E1118" i="4"/>
  <c r="E1119" i="4"/>
  <c r="E1120" i="4"/>
  <c r="E1121" i="4"/>
  <c r="E1122" i="4"/>
  <c r="E1123" i="4"/>
  <c r="E1124" i="4"/>
  <c r="E1125" i="4"/>
  <c r="E1126" i="4"/>
  <c r="E1127" i="4"/>
  <c r="E1128" i="4"/>
  <c r="E1129" i="4"/>
  <c r="E1130" i="4"/>
  <c r="E1131" i="4"/>
  <c r="E1132" i="4"/>
  <c r="E1133" i="4"/>
  <c r="E1134" i="4"/>
  <c r="E1135" i="4"/>
  <c r="E1136" i="4"/>
  <c r="E1137" i="4"/>
  <c r="E1138" i="4"/>
  <c r="E1139" i="4"/>
  <c r="E1140" i="4"/>
  <c r="E1141" i="4"/>
  <c r="E1142" i="4"/>
  <c r="E1143" i="4"/>
  <c r="E1144" i="4"/>
  <c r="E1145" i="4"/>
  <c r="E1146" i="4"/>
  <c r="E1147" i="4"/>
  <c r="E1148" i="4"/>
  <c r="E1149" i="4"/>
  <c r="E1150" i="4"/>
  <c r="E1152" i="4"/>
  <c r="E1153" i="4"/>
  <c r="E1154" i="4"/>
  <c r="E1155" i="4"/>
  <c r="E1156" i="4"/>
  <c r="E1157" i="4"/>
  <c r="E1158" i="4"/>
  <c r="E1159" i="4"/>
  <c r="E1160" i="4"/>
  <c r="E1161" i="4"/>
  <c r="E1162" i="4"/>
  <c r="E1163" i="4"/>
  <c r="E1164" i="4"/>
  <c r="E1165" i="4"/>
  <c r="E1166" i="4"/>
  <c r="E1167" i="4"/>
  <c r="E1168" i="4"/>
  <c r="E1169" i="4"/>
  <c r="E1170" i="4"/>
  <c r="E1171" i="4"/>
  <c r="E1172" i="4"/>
  <c r="E1173" i="4"/>
  <c r="E1174" i="4"/>
  <c r="E1175" i="4"/>
  <c r="E1176" i="4"/>
  <c r="E1177" i="4"/>
  <c r="E1178" i="4"/>
  <c r="E1179" i="4"/>
  <c r="E1180" i="4"/>
  <c r="E1181" i="4"/>
  <c r="E1182" i="4"/>
  <c r="E1183" i="4"/>
  <c r="E1184" i="4"/>
  <c r="E1185" i="4"/>
  <c r="E1186" i="4"/>
  <c r="E1187" i="4"/>
  <c r="E1188" i="4"/>
  <c r="E1189" i="4"/>
  <c r="E1190" i="4"/>
  <c r="E1191" i="4"/>
  <c r="E1192" i="4"/>
  <c r="E1193" i="4"/>
  <c r="E1194" i="4"/>
  <c r="E1195" i="4"/>
  <c r="E1196" i="4"/>
  <c r="E1197" i="4"/>
  <c r="E1198" i="4"/>
  <c r="E1199" i="4"/>
  <c r="E1200" i="4"/>
  <c r="E1201" i="4"/>
  <c r="E1202" i="4"/>
  <c r="E1203" i="4"/>
  <c r="E1204" i="4"/>
  <c r="E1205" i="4"/>
  <c r="E1206" i="4"/>
  <c r="E1207" i="4"/>
  <c r="E1208" i="4"/>
  <c r="E1209" i="4"/>
  <c r="E1210" i="4"/>
  <c r="E1211" i="4"/>
  <c r="E1212" i="4"/>
  <c r="E1213" i="4"/>
  <c r="E1214" i="4"/>
  <c r="E1215" i="4"/>
  <c r="E1216" i="4"/>
  <c r="E1217" i="4"/>
  <c r="E1218" i="4"/>
  <c r="E1219" i="4"/>
  <c r="E1220" i="4"/>
  <c r="E1221" i="4"/>
  <c r="E1222" i="4"/>
  <c r="E1223" i="4"/>
  <c r="E1224" i="4"/>
  <c r="E1225" i="4"/>
  <c r="E1226" i="4"/>
  <c r="E1227" i="4"/>
  <c r="E1228" i="4"/>
  <c r="E1229" i="4"/>
  <c r="E1230" i="4"/>
  <c r="E1231" i="4"/>
  <c r="E1232" i="4"/>
  <c r="E1233" i="4"/>
  <c r="E1234" i="4"/>
  <c r="E1235" i="4"/>
  <c r="E1236" i="4"/>
  <c r="E1237" i="4"/>
  <c r="E1238" i="4"/>
  <c r="E1239" i="4"/>
  <c r="E1240" i="4"/>
  <c r="E1241" i="4"/>
  <c r="E1242" i="4"/>
  <c r="E1243" i="4"/>
  <c r="E1244" i="4"/>
  <c r="E1245" i="4"/>
  <c r="E1246" i="4"/>
  <c r="E1247" i="4"/>
  <c r="E1248" i="4"/>
  <c r="E1249" i="4"/>
  <c r="E1250" i="4"/>
  <c r="E1251" i="4"/>
  <c r="E1252" i="4"/>
  <c r="E1253" i="4"/>
  <c r="E1254" i="4"/>
  <c r="E1255" i="4"/>
  <c r="E1256" i="4"/>
  <c r="E1257" i="4"/>
  <c r="E1258" i="4"/>
  <c r="E1259" i="4"/>
  <c r="E1260" i="4"/>
  <c r="E1261" i="4"/>
  <c r="E1262" i="4"/>
  <c r="E1263" i="4"/>
  <c r="E1264" i="4"/>
  <c r="E1265" i="4"/>
  <c r="E1266" i="4"/>
  <c r="E1267" i="4"/>
  <c r="E1268" i="4"/>
  <c r="E1269" i="4"/>
  <c r="E1270" i="4"/>
  <c r="E1271" i="4"/>
  <c r="E1272" i="4"/>
  <c r="E1273" i="4"/>
  <c r="E1274" i="4"/>
  <c r="E1275" i="4"/>
  <c r="E1276" i="4"/>
  <c r="E1277" i="4"/>
  <c r="E1278" i="4"/>
  <c r="E1279" i="4"/>
  <c r="E1280" i="4"/>
  <c r="E1281" i="4"/>
  <c r="E1282" i="4"/>
  <c r="E1283" i="4"/>
  <c r="E1284" i="4"/>
  <c r="E1285" i="4"/>
  <c r="E1286" i="4"/>
  <c r="E1287" i="4"/>
  <c r="E1288" i="4"/>
  <c r="E1289" i="4"/>
  <c r="E1290" i="4"/>
  <c r="E1291" i="4"/>
  <c r="E1292" i="4"/>
  <c r="E1293" i="4"/>
  <c r="E1294" i="4"/>
  <c r="E1295" i="4"/>
  <c r="E1296" i="4"/>
  <c r="E1297" i="4"/>
  <c r="E1298" i="4"/>
  <c r="E1299" i="4"/>
  <c r="E1300" i="4"/>
  <c r="E1301" i="4"/>
  <c r="E1302" i="4"/>
  <c r="E1303" i="4"/>
  <c r="E1304" i="4"/>
  <c r="E1305" i="4"/>
  <c r="E1306" i="4"/>
  <c r="E1307" i="4"/>
  <c r="E1308" i="4"/>
  <c r="E1309" i="4"/>
  <c r="E1310" i="4"/>
  <c r="E1311" i="4"/>
  <c r="E1312" i="4"/>
  <c r="E1313" i="4"/>
  <c r="E1314" i="4"/>
  <c r="E1315" i="4"/>
  <c r="E1316" i="4"/>
  <c r="E1317" i="4"/>
  <c r="E1318" i="4"/>
  <c r="E1319" i="4"/>
  <c r="E1320" i="4"/>
  <c r="E1321" i="4"/>
  <c r="E1322" i="4"/>
  <c r="E1323" i="4"/>
  <c r="E1324" i="4"/>
  <c r="E1325" i="4"/>
  <c r="E1326" i="4"/>
  <c r="E1327" i="4"/>
  <c r="E1328" i="4"/>
  <c r="E1329" i="4"/>
  <c r="E1330" i="4"/>
  <c r="E1331" i="4"/>
  <c r="E1332" i="4"/>
  <c r="E1333" i="4"/>
  <c r="E1334" i="4"/>
  <c r="E1335" i="4"/>
  <c r="E1336" i="4"/>
  <c r="E1337" i="4"/>
  <c r="E1338" i="4"/>
  <c r="E1339" i="4"/>
  <c r="E1340" i="4"/>
  <c r="E1341" i="4"/>
  <c r="E1342" i="4"/>
  <c r="E1343" i="4"/>
  <c r="E1344" i="4"/>
  <c r="E1345" i="4"/>
  <c r="E1346" i="4"/>
  <c r="E1347" i="4"/>
  <c r="E1348" i="4"/>
  <c r="E1349" i="4"/>
  <c r="E1350" i="4"/>
  <c r="E1351" i="4"/>
  <c r="E1352" i="4"/>
  <c r="E1353" i="4"/>
  <c r="E1354" i="4"/>
  <c r="E1355" i="4"/>
  <c r="E1356" i="4"/>
  <c r="E1357" i="4"/>
  <c r="E1358" i="4"/>
  <c r="E1359" i="4"/>
  <c r="E1360" i="4"/>
  <c r="E1361" i="4"/>
  <c r="E1362" i="4"/>
  <c r="E1363" i="4"/>
  <c r="E1364" i="4"/>
  <c r="E1365" i="4"/>
  <c r="E1366" i="4"/>
  <c r="E1367" i="4"/>
  <c r="E123" i="4"/>
  <c r="N123" i="4"/>
  <c r="E1" i="4"/>
  <c r="F1367" i="4"/>
  <c r="F1366" i="4"/>
  <c r="F1365" i="4"/>
  <c r="F1364" i="4"/>
  <c r="F1363" i="4"/>
  <c r="F1362" i="4"/>
  <c r="F1361" i="4"/>
  <c r="F1360" i="4"/>
  <c r="F1359" i="4"/>
  <c r="F1358" i="4"/>
  <c r="F1357" i="4"/>
  <c r="F1356" i="4"/>
  <c r="F1355" i="4"/>
  <c r="F1354" i="4"/>
  <c r="F1353" i="4"/>
  <c r="F1352" i="4"/>
  <c r="F1351" i="4"/>
  <c r="F1350" i="4"/>
  <c r="F1349" i="4"/>
  <c r="F1348" i="4"/>
  <c r="F1347" i="4"/>
  <c r="F1346" i="4"/>
  <c r="F1345" i="4"/>
  <c r="F1344" i="4"/>
  <c r="F1343" i="4"/>
  <c r="F1342" i="4"/>
  <c r="F1341" i="4"/>
  <c r="F1340" i="4"/>
  <c r="F1339" i="4"/>
  <c r="F1338" i="4"/>
  <c r="F1337" i="4"/>
  <c r="F1336" i="4"/>
  <c r="F1335" i="4"/>
  <c r="F1334" i="4"/>
  <c r="F1333" i="4"/>
  <c r="F1332" i="4"/>
  <c r="F1331" i="4"/>
  <c r="F1330" i="4"/>
  <c r="F1329" i="4"/>
  <c r="F1328" i="4"/>
  <c r="F1327" i="4"/>
  <c r="F1326" i="4"/>
  <c r="F1325" i="4"/>
  <c r="F1324" i="4"/>
  <c r="F1323" i="4"/>
  <c r="F1322" i="4"/>
  <c r="F1321" i="4"/>
  <c r="F1320" i="4"/>
  <c r="F1319" i="4"/>
  <c r="F1318" i="4"/>
  <c r="F1317" i="4"/>
  <c r="F1316" i="4"/>
  <c r="F1315" i="4"/>
  <c r="F1314" i="4"/>
  <c r="F1313" i="4"/>
  <c r="F1312" i="4"/>
  <c r="F1311" i="4"/>
  <c r="F1310" i="4"/>
  <c r="F1309" i="4"/>
  <c r="F1308" i="4"/>
  <c r="F1307" i="4"/>
  <c r="F1306" i="4"/>
  <c r="F1305" i="4"/>
  <c r="F1304" i="4"/>
  <c r="F1303" i="4"/>
  <c r="F1302" i="4"/>
  <c r="F1301" i="4"/>
  <c r="F1300" i="4"/>
  <c r="F1299" i="4"/>
  <c r="F1298" i="4"/>
  <c r="F1297" i="4"/>
  <c r="F1296" i="4"/>
  <c r="F1295" i="4"/>
  <c r="F1294" i="4"/>
  <c r="F1293" i="4"/>
  <c r="F1292" i="4"/>
  <c r="F1291" i="4"/>
  <c r="F1290" i="4"/>
  <c r="F1289" i="4"/>
  <c r="F1288" i="4"/>
  <c r="F1287" i="4"/>
  <c r="F1286" i="4"/>
  <c r="F1285" i="4"/>
  <c r="F1284" i="4"/>
  <c r="F1283" i="4"/>
  <c r="F1282" i="4"/>
  <c r="F1281" i="4"/>
  <c r="F1280" i="4"/>
  <c r="F1279" i="4"/>
  <c r="F1278" i="4"/>
  <c r="F1277" i="4"/>
  <c r="F1276" i="4"/>
  <c r="F1275" i="4"/>
  <c r="F1274" i="4"/>
  <c r="F1273" i="4"/>
  <c r="F1272" i="4"/>
  <c r="F1271" i="4"/>
  <c r="F1270" i="4"/>
  <c r="F1269" i="4"/>
  <c r="F1268" i="4"/>
  <c r="F1267" i="4"/>
  <c r="F1266" i="4"/>
  <c r="F1265" i="4"/>
  <c r="F1264" i="4"/>
  <c r="F1263" i="4"/>
  <c r="F1262" i="4"/>
  <c r="F1261" i="4"/>
  <c r="F1260" i="4"/>
  <c r="F1259" i="4"/>
  <c r="F1258" i="4"/>
  <c r="F1257" i="4"/>
  <c r="F1256" i="4"/>
  <c r="F1255" i="4"/>
  <c r="F1254" i="4"/>
  <c r="F1253" i="4"/>
  <c r="F1252" i="4"/>
  <c r="F1251" i="4"/>
  <c r="F1250" i="4"/>
  <c r="F1249" i="4"/>
  <c r="F1248" i="4"/>
  <c r="F1247" i="4"/>
  <c r="F1246" i="4"/>
  <c r="F1245" i="4"/>
  <c r="F1244" i="4"/>
  <c r="F1243" i="4"/>
  <c r="F1242" i="4"/>
  <c r="F1241" i="4"/>
  <c r="F1240" i="4"/>
  <c r="F1239" i="4"/>
  <c r="F1238" i="4"/>
  <c r="F1237" i="4"/>
  <c r="F1236" i="4"/>
  <c r="F1235" i="4"/>
  <c r="F1234" i="4"/>
  <c r="F1233" i="4"/>
  <c r="F1232" i="4"/>
  <c r="F1231" i="4"/>
  <c r="F1230" i="4"/>
  <c r="F1229" i="4"/>
  <c r="F1228" i="4"/>
  <c r="F1227" i="4"/>
  <c r="F1226" i="4"/>
  <c r="F1225" i="4"/>
  <c r="F1224" i="4"/>
  <c r="F1223" i="4"/>
  <c r="F1222" i="4"/>
  <c r="F1221" i="4"/>
  <c r="F1220" i="4"/>
  <c r="F1219" i="4"/>
  <c r="F1218" i="4"/>
  <c r="F1217" i="4"/>
  <c r="F1216" i="4"/>
  <c r="F1215" i="4"/>
  <c r="F1214" i="4"/>
  <c r="F1213" i="4"/>
  <c r="F1212" i="4"/>
  <c r="F1211" i="4"/>
  <c r="F1210" i="4"/>
  <c r="F1209" i="4"/>
  <c r="F1208" i="4"/>
  <c r="F1207" i="4"/>
  <c r="F1206" i="4"/>
  <c r="F1205" i="4"/>
  <c r="F1204" i="4"/>
  <c r="F1203" i="4"/>
  <c r="F1202" i="4"/>
  <c r="F1201" i="4"/>
  <c r="F1200" i="4"/>
  <c r="F1199" i="4"/>
  <c r="F1198" i="4"/>
  <c r="F1197" i="4"/>
  <c r="F1196" i="4"/>
  <c r="F1195" i="4"/>
  <c r="F1194" i="4"/>
  <c r="F1193" i="4"/>
  <c r="F1192" i="4"/>
  <c r="F1191" i="4"/>
  <c r="F1190" i="4"/>
  <c r="F1189" i="4"/>
  <c r="F1188" i="4"/>
  <c r="F1187" i="4"/>
  <c r="F1186" i="4"/>
  <c r="F1185" i="4"/>
  <c r="F1184" i="4"/>
  <c r="F1183" i="4"/>
  <c r="F1182" i="4"/>
  <c r="F1181" i="4"/>
  <c r="F1180" i="4"/>
  <c r="F1179" i="4"/>
  <c r="F1178" i="4"/>
  <c r="F1177" i="4"/>
  <c r="F1176" i="4"/>
  <c r="F1175" i="4"/>
  <c r="F1174" i="4"/>
  <c r="F1173" i="4"/>
  <c r="F1172" i="4"/>
  <c r="F1171" i="4"/>
  <c r="F1170" i="4"/>
  <c r="F1169" i="4"/>
  <c r="F1168" i="4"/>
  <c r="F1167" i="4"/>
  <c r="F1166" i="4"/>
  <c r="F1165" i="4"/>
  <c r="F1164" i="4"/>
  <c r="F1163" i="4"/>
  <c r="F1162" i="4"/>
  <c r="F1161" i="4"/>
  <c r="F1160" i="4"/>
  <c r="F1159" i="4"/>
  <c r="F1158" i="4"/>
  <c r="F1157" i="4"/>
  <c r="F1156" i="4"/>
  <c r="F1155" i="4"/>
  <c r="F1154" i="4"/>
  <c r="F1153" i="4"/>
  <c r="F1152" i="4"/>
  <c r="F1150" i="4"/>
  <c r="F1149" i="4"/>
  <c r="F1148" i="4"/>
  <c r="F1147" i="4"/>
  <c r="F1146" i="4"/>
  <c r="F1145" i="4"/>
  <c r="F1144" i="4"/>
  <c r="F1143" i="4"/>
  <c r="F1142" i="4"/>
  <c r="F1141" i="4"/>
  <c r="F1140" i="4"/>
  <c r="F1139" i="4"/>
  <c r="F1138" i="4"/>
  <c r="F1137" i="4"/>
  <c r="F1136" i="4"/>
  <c r="F1135" i="4"/>
  <c r="F1134" i="4"/>
  <c r="F1133" i="4"/>
  <c r="F1132" i="4"/>
  <c r="F1131" i="4"/>
  <c r="F1130" i="4"/>
  <c r="F1129" i="4"/>
  <c r="F1128" i="4"/>
  <c r="F1127" i="4"/>
  <c r="F1126" i="4"/>
  <c r="F1125" i="4"/>
  <c r="F1124" i="4"/>
  <c r="F1123" i="4"/>
  <c r="F1122" i="4"/>
  <c r="F1121" i="4"/>
  <c r="F1120" i="4"/>
  <c r="F1119" i="4"/>
  <c r="F1118" i="4"/>
  <c r="F1117" i="4"/>
  <c r="F1116" i="4"/>
  <c r="F1115" i="4"/>
  <c r="F1114" i="4"/>
  <c r="F1113" i="4"/>
  <c r="F1112" i="4"/>
  <c r="F1111" i="4"/>
  <c r="F1110" i="4"/>
  <c r="F1109" i="4"/>
  <c r="F1108" i="4"/>
  <c r="F1107" i="4"/>
  <c r="F1105" i="4"/>
  <c r="F1104" i="4"/>
  <c r="F1103" i="4"/>
  <c r="F1102" i="4"/>
  <c r="F1101" i="4"/>
  <c r="F1100" i="4"/>
  <c r="F1099" i="4"/>
  <c r="F1098" i="4"/>
  <c r="F1097" i="4"/>
  <c r="F1096" i="4"/>
  <c r="F1095" i="4"/>
  <c r="F1094" i="4"/>
  <c r="F1093" i="4"/>
  <c r="F1092" i="4"/>
  <c r="F1091" i="4"/>
  <c r="F1090" i="4"/>
  <c r="F1089" i="4"/>
  <c r="F1088" i="4"/>
  <c r="F1087" i="4"/>
  <c r="F1086" i="4"/>
  <c r="F1085" i="4"/>
  <c r="F1084" i="4"/>
  <c r="F1083" i="4"/>
  <c r="F1082" i="4"/>
  <c r="F1081" i="4"/>
  <c r="F1080" i="4"/>
  <c r="F1079" i="4"/>
  <c r="F1078" i="4"/>
  <c r="F1077" i="4"/>
  <c r="F1076" i="4"/>
  <c r="F1075" i="4"/>
  <c r="F1074" i="4"/>
  <c r="F1073" i="4"/>
  <c r="F1072" i="4"/>
  <c r="F1071" i="4"/>
  <c r="F1070" i="4"/>
  <c r="F1069" i="4"/>
  <c r="F1068" i="4"/>
  <c r="F1067" i="4"/>
  <c r="F1066" i="4"/>
  <c r="F1065" i="4"/>
  <c r="F1064" i="4"/>
  <c r="F1062" i="4"/>
  <c r="F1061" i="4"/>
  <c r="F1060" i="4"/>
  <c r="F1059" i="4"/>
  <c r="F1058" i="4"/>
  <c r="F1057" i="4"/>
  <c r="F1056" i="4"/>
  <c r="F1055" i="4"/>
  <c r="F1054" i="4"/>
  <c r="F1053" i="4"/>
  <c r="F1052" i="4"/>
  <c r="F1051" i="4"/>
  <c r="F1050" i="4"/>
  <c r="F1049" i="4"/>
  <c r="F1048" i="4"/>
  <c r="F1047" i="4"/>
  <c r="F1046" i="4"/>
  <c r="F1045" i="4"/>
  <c r="F1044" i="4"/>
  <c r="F1043" i="4"/>
  <c r="F1042" i="4"/>
  <c r="F1041" i="4"/>
  <c r="F1040" i="4"/>
  <c r="F1039" i="4"/>
  <c r="F1037" i="4"/>
  <c r="F1036" i="4"/>
  <c r="F1035" i="4"/>
  <c r="F1034" i="4"/>
  <c r="F1033" i="4"/>
  <c r="F1032" i="4"/>
  <c r="F1031" i="4"/>
  <c r="F1030" i="4"/>
  <c r="F1029" i="4"/>
  <c r="F1028" i="4"/>
  <c r="F1027" i="4"/>
  <c r="F1026" i="4"/>
  <c r="F1025" i="4"/>
  <c r="F1024" i="4"/>
  <c r="F1023" i="4"/>
  <c r="F1022" i="4"/>
  <c r="F1021" i="4"/>
  <c r="F1020" i="4"/>
  <c r="F1019" i="4"/>
  <c r="F1018" i="4"/>
  <c r="F1017" i="4"/>
  <c r="F1016" i="4"/>
  <c r="F1015" i="4"/>
  <c r="F1014" i="4"/>
  <c r="F1013" i="4"/>
  <c r="F1012" i="4"/>
  <c r="F1011" i="4"/>
  <c r="F1010" i="4"/>
  <c r="F1009" i="4"/>
  <c r="F1008" i="4"/>
  <c r="F1007" i="4"/>
  <c r="F1006" i="4"/>
  <c r="F1005" i="4"/>
  <c r="F1004" i="4"/>
  <c r="F1003" i="4"/>
  <c r="F1002" i="4"/>
  <c r="F1001" i="4"/>
  <c r="F1000" i="4"/>
  <c r="F999" i="4"/>
  <c r="F998" i="4"/>
  <c r="F997" i="4"/>
  <c r="F996" i="4"/>
  <c r="F995" i="4"/>
  <c r="F994" i="4"/>
  <c r="F993" i="4"/>
  <c r="F992" i="4"/>
  <c r="F991" i="4"/>
  <c r="F990" i="4"/>
  <c r="F989" i="4"/>
  <c r="F988" i="4"/>
  <c r="F987" i="4"/>
  <c r="F986" i="4"/>
  <c r="F985" i="4"/>
  <c r="F984" i="4"/>
  <c r="F983"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8" i="4"/>
  <c r="F727" i="4"/>
  <c r="F726" i="4"/>
  <c r="F725" i="4"/>
  <c r="F724" i="4"/>
  <c r="F723" i="4"/>
  <c r="F722" i="4"/>
  <c r="F721" i="4"/>
  <c r="F720" i="4"/>
  <c r="F719" i="4"/>
  <c r="F718" i="4"/>
  <c r="F717" i="4"/>
  <c r="F716" i="4"/>
  <c r="F715" i="4"/>
  <c r="F714" i="4"/>
  <c r="F713" i="4"/>
  <c r="F712" i="4"/>
  <c r="F711" i="4"/>
  <c r="F710" i="4"/>
  <c r="F709" i="4"/>
  <c r="F708" i="4"/>
  <c r="F707" i="4"/>
  <c r="F706"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3" i="4"/>
  <c r="F662" i="4"/>
  <c r="F661" i="4"/>
  <c r="F660" i="4"/>
  <c r="F659" i="4"/>
  <c r="F658" i="4"/>
  <c r="F657" i="4"/>
  <c r="F656" i="4"/>
  <c r="F655" i="4"/>
  <c r="F654" i="4"/>
  <c r="F653" i="4"/>
  <c r="F652" i="4"/>
  <c r="F651" i="4"/>
  <c r="F650" i="4"/>
  <c r="F649" i="4"/>
  <c r="F648" i="4"/>
  <c r="F647" i="4"/>
  <c r="F646" i="4"/>
  <c r="F645" i="4"/>
  <c r="F643" i="4"/>
  <c r="F642" i="4"/>
  <c r="F641" i="4"/>
  <c r="F640" i="4"/>
  <c r="F639" i="4"/>
  <c r="F638" i="4"/>
  <c r="F637" i="4"/>
  <c r="F636" i="4"/>
  <c r="F635" i="4"/>
  <c r="F634" i="4"/>
  <c r="F633" i="4"/>
  <c r="F632" i="4"/>
  <c r="F631" i="4"/>
  <c r="F630" i="4"/>
  <c r="F629" i="4"/>
  <c r="F628" i="4"/>
  <c r="F627" i="4"/>
  <c r="F626" i="4"/>
  <c r="F625" i="4"/>
  <c r="F624" i="4"/>
  <c r="F623" i="4"/>
  <c r="F622" i="4"/>
  <c r="F621" i="4"/>
  <c r="F620" i="4"/>
  <c r="F619" i="4"/>
  <c r="F618" i="4"/>
  <c r="F617" i="4"/>
  <c r="F616" i="4"/>
  <c r="F615" i="4"/>
  <c r="F614" i="4"/>
  <c r="F613" i="4"/>
  <c r="F612" i="4"/>
  <c r="F611" i="4"/>
  <c r="F610" i="4"/>
  <c r="F609" i="4"/>
  <c r="F608" i="4"/>
  <c r="F607" i="4"/>
  <c r="F606" i="4"/>
  <c r="F605" i="4"/>
  <c r="F604" i="4"/>
  <c r="F603" i="4"/>
  <c r="F602" i="4"/>
  <c r="F601" i="4"/>
  <c r="F600" i="4"/>
  <c r="F599" i="4"/>
  <c r="F598" i="4"/>
  <c r="F596" i="4"/>
  <c r="F595" i="4"/>
  <c r="F594" i="4"/>
  <c r="F593" i="4"/>
  <c r="F592" i="4"/>
  <c r="F591" i="4"/>
  <c r="F590" i="4"/>
  <c r="F589" i="4"/>
  <c r="F588" i="4"/>
  <c r="F587" i="4"/>
  <c r="F586" i="4"/>
  <c r="F585" i="4"/>
  <c r="F584" i="4"/>
  <c r="F583" i="4"/>
  <c r="F582" i="4"/>
  <c r="F581" i="4"/>
  <c r="F580" i="4"/>
  <c r="F579" i="4"/>
  <c r="F578" i="4"/>
  <c r="F577" i="4"/>
  <c r="F576" i="4"/>
  <c r="F575" i="4"/>
  <c r="F574" i="4"/>
  <c r="F573" i="4"/>
  <c r="F571" i="4"/>
  <c r="F570" i="4"/>
  <c r="F569" i="4"/>
  <c r="F568" i="4"/>
  <c r="F567" i="4"/>
  <c r="F566" i="4"/>
  <c r="F565" i="4"/>
  <c r="F564" i="4"/>
  <c r="F563" i="4"/>
  <c r="F562" i="4"/>
  <c r="F561" i="4"/>
  <c r="F560" i="4"/>
  <c r="F559" i="4"/>
  <c r="F558" i="4"/>
  <c r="F557" i="4"/>
  <c r="F556" i="4"/>
  <c r="F555" i="4"/>
  <c r="F554" i="4"/>
  <c r="F553" i="4"/>
  <c r="F552" i="4"/>
  <c r="F551" i="4"/>
  <c r="F550" i="4"/>
  <c r="F549" i="4"/>
  <c r="F548" i="4"/>
  <c r="F547" i="4"/>
  <c r="F546" i="4"/>
  <c r="F545" i="4"/>
  <c r="F544" i="4"/>
  <c r="F543" i="4"/>
  <c r="F542" i="4"/>
  <c r="F541" i="4"/>
  <c r="F540" i="4"/>
  <c r="F539" i="4"/>
  <c r="F538" i="4"/>
  <c r="F537" i="4"/>
  <c r="F536" i="4"/>
  <c r="F535" i="4"/>
  <c r="F534" i="4"/>
  <c r="F532" i="4"/>
  <c r="F531" i="4"/>
  <c r="F529" i="4"/>
  <c r="F528" i="4"/>
  <c r="F527" i="4"/>
  <c r="F526" i="4"/>
  <c r="F525" i="4"/>
  <c r="F524" i="4"/>
  <c r="F523" i="4"/>
  <c r="F522" i="4"/>
  <c r="F521" i="4"/>
  <c r="F520" i="4"/>
  <c r="F519" i="4"/>
  <c r="F518" i="4"/>
  <c r="F517" i="4"/>
  <c r="F515" i="4"/>
  <c r="F514" i="4"/>
  <c r="F513" i="4"/>
  <c r="F512" i="4"/>
  <c r="F511" i="4"/>
  <c r="F510" i="4"/>
  <c r="F509" i="4"/>
  <c r="F508" i="4"/>
  <c r="F507" i="4"/>
  <c r="F506" i="4"/>
  <c r="F505" i="4"/>
  <c r="F504" i="4"/>
  <c r="F503" i="4"/>
  <c r="F502" i="4"/>
  <c r="F501" i="4"/>
  <c r="F500" i="4"/>
  <c r="F499" i="4"/>
  <c r="F498" i="4"/>
  <c r="F497" i="4"/>
  <c r="F496" i="4"/>
  <c r="F495" i="4"/>
  <c r="F494" i="4"/>
  <c r="F493" i="4"/>
  <c r="F492" i="4"/>
  <c r="F491" i="4"/>
  <c r="F490" i="4"/>
  <c r="F489" i="4"/>
  <c r="F488" i="4"/>
  <c r="F487" i="4"/>
  <c r="F486" i="4"/>
  <c r="F485" i="4"/>
  <c r="F484" i="4"/>
  <c r="F483" i="4"/>
  <c r="F482" i="4"/>
  <c r="F481" i="4"/>
  <c r="F480" i="4"/>
  <c r="F479" i="4"/>
  <c r="F478" i="4"/>
  <c r="F477" i="4"/>
  <c r="F476" i="4"/>
  <c r="F475" i="4"/>
  <c r="F474" i="4"/>
  <c r="F473" i="4"/>
  <c r="F472" i="4"/>
  <c r="F471" i="4"/>
  <c r="F470" i="4"/>
  <c r="F468" i="4"/>
  <c r="F467" i="4"/>
  <c r="F465" i="4"/>
  <c r="F464" i="4"/>
  <c r="F463" i="4"/>
  <c r="F462" i="4"/>
  <c r="F461" i="4"/>
  <c r="F460" i="4"/>
  <c r="F459" i="4"/>
  <c r="F458" i="4"/>
  <c r="F457" i="4"/>
  <c r="F456" i="4"/>
  <c r="F455" i="4"/>
  <c r="F454" i="4"/>
  <c r="F453" i="4"/>
  <c r="F452" i="4"/>
  <c r="F451" i="4"/>
  <c r="F450" i="4"/>
  <c r="F449" i="4"/>
  <c r="F448" i="4"/>
  <c r="F447" i="4"/>
  <c r="F446" i="4"/>
  <c r="F445" i="4"/>
  <c r="F444" i="4"/>
  <c r="F443" i="4"/>
  <c r="F442" i="4"/>
  <c r="F441" i="4"/>
  <c r="F440" i="4"/>
  <c r="F439" i="4"/>
  <c r="F438" i="4"/>
  <c r="F437" i="4"/>
  <c r="F436" i="4"/>
  <c r="F435" i="4"/>
  <c r="F434" i="4"/>
  <c r="F433" i="4"/>
  <c r="F432" i="4"/>
  <c r="F431" i="4"/>
  <c r="F430" i="4"/>
  <c r="F429" i="4"/>
  <c r="F428" i="4"/>
  <c r="F427" i="4"/>
  <c r="F426" i="4"/>
  <c r="F425" i="4"/>
  <c r="F424" i="4"/>
  <c r="F423" i="4"/>
  <c r="F422" i="4"/>
  <c r="F421" i="4"/>
  <c r="F420" i="4"/>
  <c r="F419" i="4"/>
  <c r="F418" i="4"/>
  <c r="F417" i="4"/>
  <c r="F416" i="4"/>
  <c r="F415" i="4"/>
  <c r="F414" i="4"/>
  <c r="F413" i="4"/>
  <c r="F412" i="4"/>
  <c r="F411" i="4"/>
  <c r="F410" i="4"/>
  <c r="F409" i="4"/>
  <c r="F408" i="4"/>
  <c r="F407" i="4"/>
  <c r="F406" i="4"/>
  <c r="F405" i="4"/>
  <c r="F404" i="4"/>
  <c r="F403" i="4"/>
  <c r="F402" i="4"/>
  <c r="F401" i="4"/>
  <c r="F400" i="4"/>
  <c r="F399" i="4"/>
  <c r="F398" i="4"/>
  <c r="F397" i="4"/>
  <c r="F396" i="4"/>
  <c r="F395" i="4"/>
  <c r="F394" i="4"/>
  <c r="F393" i="4"/>
  <c r="F392" i="4"/>
  <c r="F391" i="4"/>
  <c r="F390" i="4"/>
  <c r="F389" i="4"/>
  <c r="F387" i="4"/>
  <c r="F386" i="4"/>
  <c r="F385" i="4"/>
  <c r="F384" i="4"/>
  <c r="F383" i="4"/>
  <c r="F382" i="4"/>
  <c r="F381" i="4"/>
  <c r="F380" i="4"/>
  <c r="F379" i="4"/>
  <c r="F378" i="4"/>
  <c r="F377" i="4"/>
  <c r="F376" i="4"/>
  <c r="F375" i="4"/>
  <c r="F374" i="4"/>
  <c r="F373" i="4"/>
  <c r="F372" i="4"/>
  <c r="F371" i="4"/>
  <c r="F370" i="4"/>
  <c r="F369" i="4"/>
  <c r="F368" i="4"/>
  <c r="F367" i="4"/>
  <c r="F365" i="4"/>
  <c r="F363" i="4"/>
  <c r="F362" i="4"/>
  <c r="F361" i="4"/>
  <c r="F360" i="4"/>
  <c r="F359" i="4"/>
  <c r="F358" i="4"/>
  <c r="F357" i="4"/>
  <c r="F356" i="4"/>
  <c r="F355" i="4"/>
  <c r="F354" i="4"/>
  <c r="F353" i="4"/>
  <c r="F352" i="4"/>
  <c r="F351" i="4"/>
  <c r="F350" i="4"/>
  <c r="F349" i="4"/>
  <c r="F348" i="4"/>
  <c r="F347" i="4"/>
  <c r="F346" i="4"/>
  <c r="F345" i="4"/>
  <c r="F344" i="4"/>
  <c r="F343" i="4"/>
  <c r="F342" i="4"/>
  <c r="F341" i="4"/>
  <c r="F340" i="4"/>
  <c r="F339" i="4"/>
  <c r="F338" i="4"/>
  <c r="F337" i="4"/>
  <c r="F336" i="4"/>
  <c r="F335" i="4"/>
  <c r="F334" i="4"/>
  <c r="F333" i="4"/>
  <c r="F332" i="4"/>
  <c r="F331" i="4"/>
  <c r="F330" i="4"/>
  <c r="F329" i="4"/>
  <c r="F328" i="4"/>
  <c r="F326" i="4"/>
  <c r="F325" i="4"/>
  <c r="F324" i="4"/>
  <c r="F323" i="4"/>
  <c r="F322" i="4"/>
  <c r="F321" i="4"/>
  <c r="F320" i="4"/>
  <c r="F319" i="4"/>
  <c r="F318" i="4"/>
  <c r="F317" i="4"/>
  <c r="F316" i="4"/>
  <c r="F315" i="4"/>
  <c r="F314" i="4"/>
  <c r="F313" i="4"/>
  <c r="F312" i="4"/>
  <c r="F311" i="4"/>
  <c r="F309" i="4"/>
  <c r="F308" i="4"/>
  <c r="F307" i="4"/>
  <c r="F306" i="4"/>
  <c r="F305" i="4"/>
  <c r="F304" i="4"/>
  <c r="F303" i="4"/>
  <c r="F302" i="4"/>
  <c r="F301" i="4"/>
  <c r="F300" i="4"/>
  <c r="F299" i="4"/>
  <c r="F298" i="4"/>
  <c r="F297" i="4"/>
  <c r="F296" i="4"/>
  <c r="F295" i="4"/>
  <c r="F294" i="4"/>
  <c r="F293"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67" i="4"/>
  <c r="F266" i="4"/>
  <c r="F265" i="4"/>
  <c r="F264" i="4"/>
  <c r="F262" i="4"/>
  <c r="F261" i="4"/>
  <c r="F260" i="4"/>
  <c r="F259" i="4"/>
  <c r="F258" i="4"/>
  <c r="F257" i="4"/>
  <c r="F256" i="4"/>
  <c r="F255" i="4"/>
  <c r="F254" i="4"/>
  <c r="F253" i="4"/>
  <c r="F252"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22" i="4"/>
  <c r="F221" i="4"/>
  <c r="F220" i="4"/>
  <c r="F219" i="4"/>
  <c r="F218" i="4"/>
  <c r="F217" i="4"/>
  <c r="F216" i="4"/>
  <c r="F215" i="4"/>
  <c r="F214" i="4"/>
  <c r="F213" i="4"/>
  <c r="F212" i="4"/>
  <c r="F211"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4" i="4"/>
  <c r="F143" i="4"/>
  <c r="F142" i="4"/>
  <c r="F141" i="4"/>
  <c r="F140" i="4"/>
  <c r="F139" i="4"/>
  <c r="F138" i="4"/>
  <c r="F137" i="4"/>
  <c r="F136" i="4"/>
  <c r="F135" i="4"/>
  <c r="F134" i="4"/>
  <c r="F133" i="4"/>
  <c r="F132" i="4"/>
  <c r="F131" i="4"/>
  <c r="F130" i="4"/>
  <c r="F129" i="4"/>
  <c r="F127" i="4"/>
  <c r="F126" i="4"/>
  <c r="F125" i="4"/>
  <c r="F123" i="4"/>
  <c r="F1" i="4"/>
  <c r="C1" i="4"/>
  <c r="B465" i="4"/>
  <c r="I465" i="4"/>
  <c r="I324" i="4"/>
  <c r="B324" i="4"/>
  <c r="I308" i="4"/>
  <c r="B308" i="4"/>
  <c r="X71" i="1"/>
  <c r="D7" i="10"/>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9" i="4"/>
  <c r="I311" i="4"/>
  <c r="I312" i="4"/>
  <c r="I313" i="4"/>
  <c r="I314" i="4"/>
  <c r="I315" i="4"/>
  <c r="I316" i="4"/>
  <c r="I317" i="4"/>
  <c r="I318" i="4"/>
  <c r="I319" i="4"/>
  <c r="I320" i="4"/>
  <c r="I321" i="4"/>
  <c r="I322" i="4"/>
  <c r="I323" i="4"/>
  <c r="I325" i="4"/>
  <c r="I326" i="4"/>
  <c r="I328" i="4"/>
  <c r="I329" i="4"/>
  <c r="I330" i="4"/>
  <c r="I331" i="4"/>
  <c r="I332" i="4"/>
  <c r="I333" i="4"/>
  <c r="I334" i="4"/>
  <c r="I335" i="4"/>
  <c r="I336" i="4"/>
  <c r="I337" i="4"/>
  <c r="I338" i="4"/>
  <c r="I339" i="4"/>
  <c r="I340" i="4"/>
  <c r="I341" i="4"/>
  <c r="I342" i="4"/>
  <c r="I343" i="4"/>
  <c r="I344" i="4"/>
  <c r="I345" i="4"/>
  <c r="I346" i="4"/>
  <c r="I347" i="4"/>
  <c r="I348" i="4"/>
  <c r="I349" i="4"/>
  <c r="I350" i="4"/>
  <c r="I351" i="4"/>
  <c r="I352" i="4"/>
  <c r="I353" i="4"/>
  <c r="I354" i="4"/>
  <c r="I355" i="4"/>
  <c r="I356" i="4"/>
  <c r="I357" i="4"/>
  <c r="I358" i="4"/>
  <c r="I359" i="4"/>
  <c r="I360" i="4"/>
  <c r="I361" i="4"/>
  <c r="I362" i="4"/>
  <c r="I363" i="4"/>
  <c r="I365" i="4"/>
  <c r="I367" i="4"/>
  <c r="I368" i="4"/>
  <c r="I369" i="4"/>
  <c r="I370" i="4"/>
  <c r="I371" i="4"/>
  <c r="I372" i="4"/>
  <c r="I373" i="4"/>
  <c r="I374" i="4"/>
  <c r="I375" i="4"/>
  <c r="I376" i="4"/>
  <c r="I377" i="4"/>
  <c r="I378" i="4"/>
  <c r="I379" i="4"/>
  <c r="I380" i="4"/>
  <c r="I381" i="4"/>
  <c r="I382" i="4"/>
  <c r="I383" i="4"/>
  <c r="I384" i="4"/>
  <c r="I385" i="4"/>
  <c r="I386" i="4"/>
  <c r="I387" i="4"/>
  <c r="I389" i="4"/>
  <c r="I390" i="4"/>
  <c r="I391" i="4"/>
  <c r="I392" i="4"/>
  <c r="I393" i="4"/>
  <c r="I394" i="4"/>
  <c r="I395" i="4"/>
  <c r="I396" i="4"/>
  <c r="I397" i="4"/>
  <c r="I398" i="4"/>
  <c r="I399" i="4"/>
  <c r="I400" i="4"/>
  <c r="I401" i="4"/>
  <c r="I402" i="4"/>
  <c r="I403" i="4"/>
  <c r="I404" i="4"/>
  <c r="I405" i="4"/>
  <c r="I406" i="4"/>
  <c r="I407" i="4"/>
  <c r="I408" i="4"/>
  <c r="I409" i="4"/>
  <c r="I410" i="4"/>
  <c r="I411" i="4"/>
  <c r="I412" i="4"/>
  <c r="I413" i="4"/>
  <c r="I414" i="4"/>
  <c r="I415" i="4"/>
  <c r="I416" i="4"/>
  <c r="I417" i="4"/>
  <c r="I418" i="4"/>
  <c r="I419" i="4"/>
  <c r="I420" i="4"/>
  <c r="I421" i="4"/>
  <c r="I422" i="4"/>
  <c r="I423" i="4"/>
  <c r="I424" i="4"/>
  <c r="I425" i="4"/>
  <c r="I426" i="4"/>
  <c r="I427" i="4"/>
  <c r="I428" i="4"/>
  <c r="I429" i="4"/>
  <c r="I430" i="4"/>
  <c r="I431" i="4"/>
  <c r="I432" i="4"/>
  <c r="I433" i="4"/>
  <c r="I434" i="4"/>
  <c r="I435" i="4"/>
  <c r="I436" i="4"/>
  <c r="I437" i="4"/>
  <c r="I438" i="4"/>
  <c r="I439" i="4"/>
  <c r="I440" i="4"/>
  <c r="I441" i="4"/>
  <c r="I442" i="4"/>
  <c r="I443" i="4"/>
  <c r="I444" i="4"/>
  <c r="I445" i="4"/>
  <c r="I446" i="4"/>
  <c r="I447" i="4"/>
  <c r="I448" i="4"/>
  <c r="I449" i="4"/>
  <c r="I450" i="4"/>
  <c r="I451" i="4"/>
  <c r="I452" i="4"/>
  <c r="I453" i="4"/>
  <c r="I454" i="4"/>
  <c r="I455" i="4"/>
  <c r="I456" i="4"/>
  <c r="I457" i="4"/>
  <c r="I458" i="4"/>
  <c r="I459" i="4"/>
  <c r="I460" i="4"/>
  <c r="I461" i="4"/>
  <c r="I462" i="4"/>
  <c r="I463" i="4"/>
  <c r="I464" i="4"/>
  <c r="I467" i="4"/>
  <c r="I468" i="4"/>
  <c r="I470" i="4"/>
  <c r="I471" i="4"/>
  <c r="I472" i="4"/>
  <c r="I473" i="4"/>
  <c r="I474" i="4"/>
  <c r="I475" i="4"/>
  <c r="I476" i="4"/>
  <c r="I477" i="4"/>
  <c r="I478" i="4"/>
  <c r="I479" i="4"/>
  <c r="I480" i="4"/>
  <c r="I481" i="4"/>
  <c r="I482" i="4"/>
  <c r="I483" i="4"/>
  <c r="I484" i="4"/>
  <c r="I485" i="4"/>
  <c r="I486" i="4"/>
  <c r="I487" i="4"/>
  <c r="I488" i="4"/>
  <c r="I489" i="4"/>
  <c r="I490" i="4"/>
  <c r="I491" i="4"/>
  <c r="I492" i="4"/>
  <c r="I493" i="4"/>
  <c r="I494" i="4"/>
  <c r="I495" i="4"/>
  <c r="I496" i="4"/>
  <c r="I497" i="4"/>
  <c r="I498" i="4"/>
  <c r="I499" i="4"/>
  <c r="I500" i="4"/>
  <c r="I501" i="4"/>
  <c r="I502" i="4"/>
  <c r="I503" i="4"/>
  <c r="I504" i="4"/>
  <c r="I505" i="4"/>
  <c r="I506" i="4"/>
  <c r="I507" i="4"/>
  <c r="I508" i="4"/>
  <c r="I509" i="4"/>
  <c r="I510" i="4"/>
  <c r="I511" i="4"/>
  <c r="I512" i="4"/>
  <c r="I513" i="4"/>
  <c r="I514" i="4"/>
  <c r="I515" i="4"/>
  <c r="I517" i="4"/>
  <c r="I518" i="4"/>
  <c r="I519" i="4"/>
  <c r="I520" i="4"/>
  <c r="I521" i="4"/>
  <c r="I522" i="4"/>
  <c r="I523" i="4"/>
  <c r="I524" i="4"/>
  <c r="I525" i="4"/>
  <c r="I526" i="4"/>
  <c r="I527" i="4"/>
  <c r="I528" i="4"/>
  <c r="I529" i="4"/>
  <c r="I531" i="4"/>
  <c r="I532" i="4"/>
  <c r="I534" i="4"/>
  <c r="I535" i="4"/>
  <c r="I536" i="4"/>
  <c r="I537" i="4"/>
  <c r="I538" i="4"/>
  <c r="I539" i="4"/>
  <c r="I540" i="4"/>
  <c r="I541" i="4"/>
  <c r="I542" i="4"/>
  <c r="I543" i="4"/>
  <c r="I544" i="4"/>
  <c r="I545" i="4"/>
  <c r="I546" i="4"/>
  <c r="I547" i="4"/>
  <c r="I548" i="4"/>
  <c r="I549" i="4"/>
  <c r="I550" i="4"/>
  <c r="I551" i="4"/>
  <c r="I552" i="4"/>
  <c r="I553" i="4"/>
  <c r="I554" i="4"/>
  <c r="I555" i="4"/>
  <c r="I556" i="4"/>
  <c r="I557" i="4"/>
  <c r="I558" i="4"/>
  <c r="I559" i="4"/>
  <c r="I560" i="4"/>
  <c r="I561" i="4"/>
  <c r="I562" i="4"/>
  <c r="I563" i="4"/>
  <c r="I564" i="4"/>
  <c r="I565" i="4"/>
  <c r="I566" i="4"/>
  <c r="I567" i="4"/>
  <c r="I568" i="4"/>
  <c r="I569" i="4"/>
  <c r="I570" i="4"/>
  <c r="I571" i="4"/>
  <c r="I573" i="4"/>
  <c r="I574" i="4"/>
  <c r="I575" i="4"/>
  <c r="I576" i="4"/>
  <c r="I577" i="4"/>
  <c r="I578" i="4"/>
  <c r="I579" i="4"/>
  <c r="I580" i="4"/>
  <c r="I581" i="4"/>
  <c r="I582" i="4"/>
  <c r="I583" i="4"/>
  <c r="I584" i="4"/>
  <c r="I585" i="4"/>
  <c r="I586" i="4"/>
  <c r="I587" i="4"/>
  <c r="I588" i="4"/>
  <c r="I589" i="4"/>
  <c r="I590" i="4"/>
  <c r="I591" i="4"/>
  <c r="I592" i="4"/>
  <c r="I593" i="4"/>
  <c r="I594" i="4"/>
  <c r="I595" i="4"/>
  <c r="I596" i="4"/>
  <c r="I598" i="4"/>
  <c r="I599" i="4"/>
  <c r="I600" i="4"/>
  <c r="I601" i="4"/>
  <c r="I602" i="4"/>
  <c r="I603" i="4"/>
  <c r="I604" i="4"/>
  <c r="I605" i="4"/>
  <c r="I606" i="4"/>
  <c r="I607" i="4"/>
  <c r="I608" i="4"/>
  <c r="I609" i="4"/>
  <c r="I610" i="4"/>
  <c r="I611" i="4"/>
  <c r="I612" i="4"/>
  <c r="I613" i="4"/>
  <c r="I614" i="4"/>
  <c r="I615" i="4"/>
  <c r="I616" i="4"/>
  <c r="I617" i="4"/>
  <c r="I618" i="4"/>
  <c r="I619" i="4"/>
  <c r="I620" i="4"/>
  <c r="I621" i="4"/>
  <c r="I622" i="4"/>
  <c r="I623" i="4"/>
  <c r="I624" i="4"/>
  <c r="I625" i="4"/>
  <c r="I626" i="4"/>
  <c r="I627" i="4"/>
  <c r="I628" i="4"/>
  <c r="I629" i="4"/>
  <c r="I630" i="4"/>
  <c r="I631" i="4"/>
  <c r="I632" i="4"/>
  <c r="I633" i="4"/>
  <c r="I634" i="4"/>
  <c r="I635" i="4"/>
  <c r="I636" i="4"/>
  <c r="I637" i="4"/>
  <c r="I638" i="4"/>
  <c r="I639" i="4"/>
  <c r="I640" i="4"/>
  <c r="I641" i="4"/>
  <c r="I642" i="4"/>
  <c r="I643" i="4"/>
  <c r="I645" i="4"/>
  <c r="I646" i="4"/>
  <c r="I647" i="4"/>
  <c r="I648" i="4"/>
  <c r="I649" i="4"/>
  <c r="I650" i="4"/>
  <c r="I651" i="4"/>
  <c r="I652" i="4"/>
  <c r="I653" i="4"/>
  <c r="I654" i="4"/>
  <c r="I655" i="4"/>
  <c r="I656" i="4"/>
  <c r="I657" i="4"/>
  <c r="I658" i="4"/>
  <c r="I659" i="4"/>
  <c r="I660" i="4"/>
  <c r="I661" i="4"/>
  <c r="I662" i="4"/>
  <c r="I663" i="4"/>
  <c r="I665" i="4"/>
  <c r="I666" i="4"/>
  <c r="I667" i="4"/>
  <c r="I668" i="4"/>
  <c r="I669" i="4"/>
  <c r="I670" i="4"/>
  <c r="I671" i="4"/>
  <c r="I672" i="4"/>
  <c r="I673" i="4"/>
  <c r="I674" i="4"/>
  <c r="I675" i="4"/>
  <c r="I676" i="4"/>
  <c r="I677" i="4"/>
  <c r="I678" i="4"/>
  <c r="I679" i="4"/>
  <c r="I680" i="4"/>
  <c r="I681" i="4"/>
  <c r="I682" i="4"/>
  <c r="I683" i="4"/>
  <c r="I684" i="4"/>
  <c r="I685" i="4"/>
  <c r="I686" i="4"/>
  <c r="I687" i="4"/>
  <c r="I688" i="4"/>
  <c r="I689" i="4"/>
  <c r="I690" i="4"/>
  <c r="I691" i="4"/>
  <c r="I692" i="4"/>
  <c r="I693" i="4"/>
  <c r="I694" i="4"/>
  <c r="I695" i="4"/>
  <c r="I696" i="4"/>
  <c r="I697" i="4"/>
  <c r="I698" i="4"/>
  <c r="I699" i="4"/>
  <c r="I700" i="4"/>
  <c r="I701" i="4"/>
  <c r="I702" i="4"/>
  <c r="I703" i="4"/>
  <c r="I704" i="4"/>
  <c r="I706" i="4"/>
  <c r="I707" i="4"/>
  <c r="I708" i="4"/>
  <c r="I709" i="4"/>
  <c r="I710" i="4"/>
  <c r="I711" i="4"/>
  <c r="I712" i="4"/>
  <c r="I713" i="4"/>
  <c r="I714" i="4"/>
  <c r="I715" i="4"/>
  <c r="I716" i="4"/>
  <c r="I717" i="4"/>
  <c r="I718" i="4"/>
  <c r="I719" i="4"/>
  <c r="I720" i="4"/>
  <c r="I721" i="4"/>
  <c r="I722" i="4"/>
  <c r="I723" i="4"/>
  <c r="I724" i="4"/>
  <c r="I725" i="4"/>
  <c r="I726" i="4"/>
  <c r="I727" i="4"/>
  <c r="I728" i="4"/>
  <c r="I730" i="4"/>
  <c r="I731" i="4"/>
  <c r="I732" i="4"/>
  <c r="I733" i="4"/>
  <c r="I734" i="4"/>
  <c r="I735" i="4"/>
  <c r="I736" i="4"/>
  <c r="I737" i="4"/>
  <c r="I738" i="4"/>
  <c r="I739" i="4"/>
  <c r="I740" i="4"/>
  <c r="I741" i="4"/>
  <c r="I742" i="4"/>
  <c r="I743" i="4"/>
  <c r="I744" i="4"/>
  <c r="I745" i="4"/>
  <c r="I746" i="4"/>
  <c r="I747" i="4"/>
  <c r="I748" i="4"/>
  <c r="I749" i="4"/>
  <c r="I750" i="4"/>
  <c r="I751" i="4"/>
  <c r="I752" i="4"/>
  <c r="I753" i="4"/>
  <c r="I754" i="4"/>
  <c r="I755" i="4"/>
  <c r="I756" i="4"/>
  <c r="I757" i="4"/>
  <c r="I758" i="4"/>
  <c r="I759" i="4"/>
  <c r="I760" i="4"/>
  <c r="I761" i="4"/>
  <c r="I762" i="4"/>
  <c r="I763" i="4"/>
  <c r="I764" i="4"/>
  <c r="I765" i="4"/>
  <c r="I766" i="4"/>
  <c r="I767" i="4"/>
  <c r="I768" i="4"/>
  <c r="I769" i="4"/>
  <c r="I770" i="4"/>
  <c r="I771" i="4"/>
  <c r="I772" i="4"/>
  <c r="I773" i="4"/>
  <c r="I774" i="4"/>
  <c r="I775" i="4"/>
  <c r="I776" i="4"/>
  <c r="I777" i="4"/>
  <c r="I778" i="4"/>
  <c r="I779" i="4"/>
  <c r="I780" i="4"/>
  <c r="I781" i="4"/>
  <c r="I782" i="4"/>
  <c r="I783" i="4"/>
  <c r="I784" i="4"/>
  <c r="I785" i="4"/>
  <c r="I786" i="4"/>
  <c r="I787" i="4"/>
  <c r="I788" i="4"/>
  <c r="I789" i="4"/>
  <c r="I790" i="4"/>
  <c r="I791" i="4"/>
  <c r="I792" i="4"/>
  <c r="I793" i="4"/>
  <c r="I794" i="4"/>
  <c r="I795" i="4"/>
  <c r="I796" i="4"/>
  <c r="I797" i="4"/>
  <c r="I798" i="4"/>
  <c r="I799" i="4"/>
  <c r="I800" i="4"/>
  <c r="I801" i="4"/>
  <c r="I802" i="4"/>
  <c r="I803" i="4"/>
  <c r="I804" i="4"/>
  <c r="I805" i="4"/>
  <c r="I806" i="4"/>
  <c r="I807" i="4"/>
  <c r="I808" i="4"/>
  <c r="I809" i="4"/>
  <c r="I810" i="4"/>
  <c r="I811" i="4"/>
  <c r="I812" i="4"/>
  <c r="I813" i="4"/>
  <c r="I814" i="4"/>
  <c r="I815" i="4"/>
  <c r="I816" i="4"/>
  <c r="I817" i="4"/>
  <c r="I818" i="4"/>
  <c r="I819" i="4"/>
  <c r="I820" i="4"/>
  <c r="I821" i="4"/>
  <c r="I822" i="4"/>
  <c r="I823" i="4"/>
  <c r="I824" i="4"/>
  <c r="I825" i="4"/>
  <c r="I826" i="4"/>
  <c r="I827" i="4"/>
  <c r="I828" i="4"/>
  <c r="I829" i="4"/>
  <c r="I830" i="4"/>
  <c r="I831" i="4"/>
  <c r="I832" i="4"/>
  <c r="I833" i="4"/>
  <c r="I834" i="4"/>
  <c r="I835" i="4"/>
  <c r="I836" i="4"/>
  <c r="I837" i="4"/>
  <c r="I838" i="4"/>
  <c r="I840" i="4"/>
  <c r="I841" i="4"/>
  <c r="I842" i="4"/>
  <c r="I843" i="4"/>
  <c r="I844" i="4"/>
  <c r="I845" i="4"/>
  <c r="I846" i="4"/>
  <c r="I847" i="4"/>
  <c r="I848" i="4"/>
  <c r="I849" i="4"/>
  <c r="I850" i="4"/>
  <c r="I851" i="4"/>
  <c r="I852" i="4"/>
  <c r="I853" i="4"/>
  <c r="I854" i="4"/>
  <c r="I855" i="4"/>
  <c r="I856" i="4"/>
  <c r="I857" i="4"/>
  <c r="I858" i="4"/>
  <c r="I859" i="4"/>
  <c r="I860" i="4"/>
  <c r="I861" i="4"/>
  <c r="I862" i="4"/>
  <c r="I863" i="4"/>
  <c r="I864" i="4"/>
  <c r="I865" i="4"/>
  <c r="I866" i="4"/>
  <c r="I867" i="4"/>
  <c r="I868" i="4"/>
  <c r="I869" i="4"/>
  <c r="I870" i="4"/>
  <c r="I871" i="4"/>
  <c r="I872" i="4"/>
  <c r="I873" i="4"/>
  <c r="I874" i="4"/>
  <c r="I875" i="4"/>
  <c r="I876" i="4"/>
  <c r="I877" i="4"/>
  <c r="I878" i="4"/>
  <c r="I879" i="4"/>
  <c r="I880" i="4"/>
  <c r="I881" i="4"/>
  <c r="I882" i="4"/>
  <c r="I883" i="4"/>
  <c r="I884" i="4"/>
  <c r="I885" i="4"/>
  <c r="I886" i="4"/>
  <c r="I887" i="4"/>
  <c r="I888" i="4"/>
  <c r="I889" i="4"/>
  <c r="I890" i="4"/>
  <c r="I891" i="4"/>
  <c r="I892" i="4"/>
  <c r="I893" i="4"/>
  <c r="I894" i="4"/>
  <c r="I895" i="4"/>
  <c r="I896" i="4"/>
  <c r="I897" i="4"/>
  <c r="I898" i="4"/>
  <c r="I899" i="4"/>
  <c r="I900" i="4"/>
  <c r="I901" i="4"/>
  <c r="I902" i="4"/>
  <c r="I903" i="4"/>
  <c r="I904" i="4"/>
  <c r="I905" i="4"/>
  <c r="I906" i="4"/>
  <c r="I907" i="4"/>
  <c r="I908" i="4"/>
  <c r="I909" i="4"/>
  <c r="I910" i="4"/>
  <c r="I911" i="4"/>
  <c r="I912" i="4"/>
  <c r="I913" i="4"/>
  <c r="I914" i="4"/>
  <c r="I915" i="4"/>
  <c r="I916" i="4"/>
  <c r="I917" i="4"/>
  <c r="I918" i="4"/>
  <c r="I919" i="4"/>
  <c r="I920" i="4"/>
  <c r="I921" i="4"/>
  <c r="I922" i="4"/>
  <c r="I923" i="4"/>
  <c r="I924" i="4"/>
  <c r="I925" i="4"/>
  <c r="I926" i="4"/>
  <c r="I927" i="4"/>
  <c r="I928" i="4"/>
  <c r="I929" i="4"/>
  <c r="I930" i="4"/>
  <c r="I931" i="4"/>
  <c r="I932" i="4"/>
  <c r="I933" i="4"/>
  <c r="I934" i="4"/>
  <c r="I935" i="4"/>
  <c r="I936" i="4"/>
  <c r="I937" i="4"/>
  <c r="I938" i="4"/>
  <c r="I939" i="4"/>
  <c r="I940" i="4"/>
  <c r="I941" i="4"/>
  <c r="I942" i="4"/>
  <c r="I943" i="4"/>
  <c r="I944" i="4"/>
  <c r="I945" i="4"/>
  <c r="I946" i="4"/>
  <c r="I947" i="4"/>
  <c r="I948" i="4"/>
  <c r="I949" i="4"/>
  <c r="I950" i="4"/>
  <c r="I951" i="4"/>
  <c r="I952" i="4"/>
  <c r="I953" i="4"/>
  <c r="I954" i="4"/>
  <c r="I955" i="4"/>
  <c r="I956" i="4"/>
  <c r="I957" i="4"/>
  <c r="I958" i="4"/>
  <c r="I959" i="4"/>
  <c r="I960" i="4"/>
  <c r="I961" i="4"/>
  <c r="I962" i="4"/>
  <c r="I963" i="4"/>
  <c r="I964" i="4"/>
  <c r="I965" i="4"/>
  <c r="I966" i="4"/>
  <c r="I967" i="4"/>
  <c r="I968" i="4"/>
  <c r="I969" i="4"/>
  <c r="I970" i="4"/>
  <c r="I971" i="4"/>
  <c r="I972" i="4"/>
  <c r="I973" i="4"/>
  <c r="I974" i="4"/>
  <c r="I975" i="4"/>
  <c r="I976" i="4"/>
  <c r="I977" i="4"/>
  <c r="I978" i="4"/>
  <c r="I979" i="4"/>
  <c r="I980" i="4"/>
  <c r="I981" i="4"/>
  <c r="I982" i="4"/>
  <c r="I983" i="4"/>
  <c r="I984" i="4"/>
  <c r="I985" i="4"/>
  <c r="I986" i="4"/>
  <c r="I987" i="4"/>
  <c r="I988" i="4"/>
  <c r="I989" i="4"/>
  <c r="I990" i="4"/>
  <c r="I991" i="4"/>
  <c r="I992" i="4"/>
  <c r="I993" i="4"/>
  <c r="I994" i="4"/>
  <c r="I995" i="4"/>
  <c r="I996" i="4"/>
  <c r="I997" i="4"/>
  <c r="I998" i="4"/>
  <c r="I999" i="4"/>
  <c r="I1000" i="4"/>
  <c r="I1001" i="4"/>
  <c r="I1002" i="4"/>
  <c r="I1003" i="4"/>
  <c r="I1004" i="4"/>
  <c r="I1005" i="4"/>
  <c r="I1006" i="4"/>
  <c r="I1007" i="4"/>
  <c r="I1008" i="4"/>
  <c r="I1009" i="4"/>
  <c r="I1010" i="4"/>
  <c r="I1011" i="4"/>
  <c r="I1012" i="4"/>
  <c r="I1013" i="4"/>
  <c r="I1014" i="4"/>
  <c r="I1015" i="4"/>
  <c r="I1016" i="4"/>
  <c r="I1017" i="4"/>
  <c r="I1018" i="4"/>
  <c r="I1019" i="4"/>
  <c r="I1020" i="4"/>
  <c r="I1021" i="4"/>
  <c r="I1022" i="4"/>
  <c r="I1023" i="4"/>
  <c r="I1024" i="4"/>
  <c r="I1025" i="4"/>
  <c r="I1026" i="4"/>
  <c r="I1027" i="4"/>
  <c r="I1028" i="4"/>
  <c r="I1029" i="4"/>
  <c r="I1030" i="4"/>
  <c r="I1031" i="4"/>
  <c r="I1032" i="4"/>
  <c r="I1033" i="4"/>
  <c r="I1034" i="4"/>
  <c r="I1035" i="4"/>
  <c r="I1036" i="4"/>
  <c r="I1037" i="4"/>
  <c r="I1039" i="4"/>
  <c r="I1040" i="4"/>
  <c r="I1041" i="4"/>
  <c r="I1042" i="4"/>
  <c r="I1043" i="4"/>
  <c r="I1044" i="4"/>
  <c r="I1045" i="4"/>
  <c r="I1046" i="4"/>
  <c r="I1047" i="4"/>
  <c r="I1048" i="4"/>
  <c r="I1049" i="4"/>
  <c r="I1050" i="4"/>
  <c r="I1051" i="4"/>
  <c r="I1052" i="4"/>
  <c r="I1053" i="4"/>
  <c r="I1054" i="4"/>
  <c r="I1055" i="4"/>
  <c r="I1056" i="4"/>
  <c r="I1057" i="4"/>
  <c r="I1058" i="4"/>
  <c r="I1059" i="4"/>
  <c r="I1060" i="4"/>
  <c r="I1061" i="4"/>
  <c r="I1062" i="4"/>
  <c r="I1064" i="4"/>
  <c r="I1065" i="4"/>
  <c r="I1066" i="4"/>
  <c r="I1067" i="4"/>
  <c r="I1068" i="4"/>
  <c r="I1069" i="4"/>
  <c r="I1070" i="4"/>
  <c r="I1071" i="4"/>
  <c r="I1072" i="4"/>
  <c r="I1073" i="4"/>
  <c r="I1074" i="4"/>
  <c r="I1075" i="4"/>
  <c r="I1076" i="4"/>
  <c r="I1077" i="4"/>
  <c r="I1078" i="4"/>
  <c r="I1079" i="4"/>
  <c r="I1080" i="4"/>
  <c r="I1081" i="4"/>
  <c r="I1082" i="4"/>
  <c r="I1083" i="4"/>
  <c r="I1084" i="4"/>
  <c r="I1085" i="4"/>
  <c r="I1086" i="4"/>
  <c r="I1087" i="4"/>
  <c r="I1088" i="4"/>
  <c r="I1089" i="4"/>
  <c r="I1090" i="4"/>
  <c r="I1091" i="4"/>
  <c r="I1092" i="4"/>
  <c r="I1093" i="4"/>
  <c r="I1094" i="4"/>
  <c r="I1095" i="4"/>
  <c r="I1096" i="4"/>
  <c r="I1097" i="4"/>
  <c r="I1098" i="4"/>
  <c r="I1099" i="4"/>
  <c r="I1100" i="4"/>
  <c r="I1101" i="4"/>
  <c r="I1102" i="4"/>
  <c r="I1103" i="4"/>
  <c r="I1104" i="4"/>
  <c r="I1105" i="4"/>
  <c r="I1107" i="4"/>
  <c r="I1108" i="4"/>
  <c r="I1109" i="4"/>
  <c r="I1110" i="4"/>
  <c r="I1111" i="4"/>
  <c r="I1112" i="4"/>
  <c r="I1113" i="4"/>
  <c r="I1114" i="4"/>
  <c r="I1115" i="4"/>
  <c r="I1116" i="4"/>
  <c r="I1117" i="4"/>
  <c r="I1118" i="4"/>
  <c r="I1119" i="4"/>
  <c r="I1120" i="4"/>
  <c r="I1121" i="4"/>
  <c r="I1122" i="4"/>
  <c r="I1123" i="4"/>
  <c r="I1124" i="4"/>
  <c r="I1125" i="4"/>
  <c r="I1126" i="4"/>
  <c r="I1127" i="4"/>
  <c r="I1128" i="4"/>
  <c r="I1129" i="4"/>
  <c r="I1130" i="4"/>
  <c r="I1131" i="4"/>
  <c r="I1132" i="4"/>
  <c r="I1133" i="4"/>
  <c r="I1134" i="4"/>
  <c r="I1135" i="4"/>
  <c r="I1136" i="4"/>
  <c r="I1137" i="4"/>
  <c r="I1138" i="4"/>
  <c r="I1139" i="4"/>
  <c r="I1140" i="4"/>
  <c r="I1141" i="4"/>
  <c r="I1142" i="4"/>
  <c r="I1143" i="4"/>
  <c r="I1144" i="4"/>
  <c r="I1145" i="4"/>
  <c r="I1146" i="4"/>
  <c r="I1147" i="4"/>
  <c r="I1148" i="4"/>
  <c r="I1149" i="4"/>
  <c r="I1150" i="4"/>
  <c r="I1152" i="4"/>
  <c r="I1153" i="4"/>
  <c r="I1154" i="4"/>
  <c r="I1155" i="4"/>
  <c r="I1156" i="4"/>
  <c r="I1157" i="4"/>
  <c r="I1158" i="4"/>
  <c r="I1159" i="4"/>
  <c r="I1160" i="4"/>
  <c r="I1161" i="4"/>
  <c r="I1162" i="4"/>
  <c r="I1163" i="4"/>
  <c r="I1164" i="4"/>
  <c r="I1165" i="4"/>
  <c r="I1166" i="4"/>
  <c r="I1167" i="4"/>
  <c r="I1168" i="4"/>
  <c r="I1169" i="4"/>
  <c r="I1170" i="4"/>
  <c r="I1171" i="4"/>
  <c r="I1172" i="4"/>
  <c r="I1173" i="4"/>
  <c r="I1174" i="4"/>
  <c r="I1175" i="4"/>
  <c r="I1176" i="4"/>
  <c r="I1177" i="4"/>
  <c r="I1178" i="4"/>
  <c r="I1179" i="4"/>
  <c r="I1180" i="4"/>
  <c r="I1181" i="4"/>
  <c r="I1182" i="4"/>
  <c r="I1183" i="4"/>
  <c r="I1184" i="4"/>
  <c r="I1185" i="4"/>
  <c r="I1186" i="4"/>
  <c r="I1187" i="4"/>
  <c r="I1188" i="4"/>
  <c r="I1189" i="4"/>
  <c r="I1190" i="4"/>
  <c r="I1191" i="4"/>
  <c r="I1192" i="4"/>
  <c r="I1193" i="4"/>
  <c r="I1194" i="4"/>
  <c r="I1195" i="4"/>
  <c r="I1196" i="4"/>
  <c r="I1197" i="4"/>
  <c r="I1198" i="4"/>
  <c r="I1199" i="4"/>
  <c r="I1200" i="4"/>
  <c r="I1201" i="4"/>
  <c r="I1202" i="4"/>
  <c r="I1203" i="4"/>
  <c r="I1204" i="4"/>
  <c r="I1205" i="4"/>
  <c r="I1206" i="4"/>
  <c r="I1207" i="4"/>
  <c r="I1208" i="4"/>
  <c r="I1209" i="4"/>
  <c r="I1210" i="4"/>
  <c r="I1211" i="4"/>
  <c r="I1212" i="4"/>
  <c r="I1213" i="4"/>
  <c r="I1214" i="4"/>
  <c r="I1215" i="4"/>
  <c r="I1216" i="4"/>
  <c r="I1217" i="4"/>
  <c r="I1218" i="4"/>
  <c r="I1219" i="4"/>
  <c r="I1220" i="4"/>
  <c r="I1221" i="4"/>
  <c r="I1222" i="4"/>
  <c r="I1223" i="4"/>
  <c r="I1224" i="4"/>
  <c r="I1225" i="4"/>
  <c r="I1226" i="4"/>
  <c r="I1227" i="4"/>
  <c r="I1228" i="4"/>
  <c r="I1229" i="4"/>
  <c r="I1230" i="4"/>
  <c r="I1231" i="4"/>
  <c r="I1232" i="4"/>
  <c r="I1233" i="4"/>
  <c r="I1234" i="4"/>
  <c r="I1235" i="4"/>
  <c r="I1236" i="4"/>
  <c r="I1237" i="4"/>
  <c r="I1238" i="4"/>
  <c r="I1239" i="4"/>
  <c r="I1240" i="4"/>
  <c r="I1241" i="4"/>
  <c r="I1242" i="4"/>
  <c r="I1243" i="4"/>
  <c r="I1244" i="4"/>
  <c r="I1245" i="4"/>
  <c r="I1246" i="4"/>
  <c r="I1247" i="4"/>
  <c r="I1248" i="4"/>
  <c r="I1249" i="4"/>
  <c r="I1250" i="4"/>
  <c r="I1251" i="4"/>
  <c r="I1252" i="4"/>
  <c r="I1253" i="4"/>
  <c r="I1254" i="4"/>
  <c r="I1255" i="4"/>
  <c r="I1256" i="4"/>
  <c r="I1257" i="4"/>
  <c r="I1258" i="4"/>
  <c r="I1259" i="4"/>
  <c r="I1260" i="4"/>
  <c r="I1261" i="4"/>
  <c r="I1262" i="4"/>
  <c r="I1263" i="4"/>
  <c r="I1264" i="4"/>
  <c r="I1265" i="4"/>
  <c r="I1266" i="4"/>
  <c r="I1267" i="4"/>
  <c r="I1268" i="4"/>
  <c r="I1269" i="4"/>
  <c r="I1270" i="4"/>
  <c r="I1271" i="4"/>
  <c r="I1272" i="4"/>
  <c r="I1273" i="4"/>
  <c r="I1274" i="4"/>
  <c r="I1275" i="4"/>
  <c r="I1276" i="4"/>
  <c r="I1277" i="4"/>
  <c r="I1278" i="4"/>
  <c r="I1279" i="4"/>
  <c r="I1280" i="4"/>
  <c r="I1281" i="4"/>
  <c r="I1282" i="4"/>
  <c r="I1283" i="4"/>
  <c r="I1284" i="4"/>
  <c r="I1285" i="4"/>
  <c r="I1286" i="4"/>
  <c r="I1287" i="4"/>
  <c r="I1288" i="4"/>
  <c r="I1289" i="4"/>
  <c r="I1290" i="4"/>
  <c r="I1291" i="4"/>
  <c r="I1292" i="4"/>
  <c r="I1293" i="4"/>
  <c r="I1294" i="4"/>
  <c r="I1295" i="4"/>
  <c r="I1296" i="4"/>
  <c r="I1297" i="4"/>
  <c r="I1298" i="4"/>
  <c r="I1299" i="4"/>
  <c r="I1300" i="4"/>
  <c r="I1301" i="4"/>
  <c r="I1302" i="4"/>
  <c r="I1303" i="4"/>
  <c r="I1304" i="4"/>
  <c r="I1305" i="4"/>
  <c r="I1306" i="4"/>
  <c r="I1307" i="4"/>
  <c r="I1308" i="4"/>
  <c r="I1309" i="4"/>
  <c r="I1310" i="4"/>
  <c r="I1311" i="4"/>
  <c r="I1312" i="4"/>
  <c r="I1313" i="4"/>
  <c r="I1314" i="4"/>
  <c r="I1315" i="4"/>
  <c r="I1316" i="4"/>
  <c r="I1317" i="4"/>
  <c r="I1318" i="4"/>
  <c r="I1319" i="4"/>
  <c r="I1320" i="4"/>
  <c r="I1321" i="4"/>
  <c r="I1322" i="4"/>
  <c r="I1323" i="4"/>
  <c r="I1324" i="4"/>
  <c r="I1325" i="4"/>
  <c r="I1326" i="4"/>
  <c r="I1327" i="4"/>
  <c r="I1328" i="4"/>
  <c r="I1329" i="4"/>
  <c r="I1330" i="4"/>
  <c r="I1331" i="4"/>
  <c r="I1332" i="4"/>
  <c r="I1333" i="4"/>
  <c r="I1334" i="4"/>
  <c r="I1335" i="4"/>
  <c r="I1336" i="4"/>
  <c r="I1337" i="4"/>
  <c r="I1338" i="4"/>
  <c r="I1339" i="4"/>
  <c r="I1340" i="4"/>
  <c r="I1341" i="4"/>
  <c r="I1342" i="4"/>
  <c r="I1343" i="4"/>
  <c r="I1344" i="4"/>
  <c r="I1345" i="4"/>
  <c r="I1346" i="4"/>
  <c r="I1347" i="4"/>
  <c r="I1348" i="4"/>
  <c r="I1349" i="4"/>
  <c r="I1350" i="4"/>
  <c r="I1351" i="4"/>
  <c r="I1352" i="4"/>
  <c r="I1353" i="4"/>
  <c r="I1354" i="4"/>
  <c r="I1355" i="4"/>
  <c r="I1356" i="4"/>
  <c r="I1357" i="4"/>
  <c r="I1358" i="4"/>
  <c r="I1359" i="4"/>
  <c r="I1360" i="4"/>
  <c r="I1361" i="4"/>
  <c r="I1362" i="4"/>
  <c r="I1363" i="4"/>
  <c r="I1364" i="4"/>
  <c r="I1365" i="4"/>
  <c r="I1366" i="4"/>
  <c r="I1367" i="4"/>
  <c r="B1319" i="4"/>
  <c r="B1320" i="4"/>
  <c r="B1321" i="4"/>
  <c r="B1322" i="4"/>
  <c r="B1323" i="4"/>
  <c r="B1324" i="4"/>
  <c r="B1325" i="4"/>
  <c r="B1326" i="4"/>
  <c r="B1327" i="4"/>
  <c r="B1328" i="4"/>
  <c r="B1329" i="4"/>
  <c r="B1330" i="4"/>
  <c r="B1331" i="4"/>
  <c r="B1332" i="4"/>
  <c r="B1333" i="4"/>
  <c r="B1334" i="4"/>
  <c r="B1335" i="4"/>
  <c r="B1336" i="4"/>
  <c r="B1337" i="4"/>
  <c r="B1338" i="4"/>
  <c r="B1339" i="4"/>
  <c r="B1340" i="4"/>
  <c r="B1341" i="4"/>
  <c r="B1342" i="4"/>
  <c r="B1343" i="4"/>
  <c r="B1344" i="4"/>
  <c r="B1345" i="4"/>
  <c r="B1346" i="4"/>
  <c r="B1347" i="4"/>
  <c r="B1348" i="4"/>
  <c r="B1349" i="4"/>
  <c r="B1350" i="4"/>
  <c r="B1351" i="4"/>
  <c r="B1352" i="4"/>
  <c r="B1353" i="4"/>
  <c r="B1354" i="4"/>
  <c r="B1355" i="4"/>
  <c r="B1356" i="4"/>
  <c r="B1357" i="4"/>
  <c r="B1358" i="4"/>
  <c r="B1359" i="4"/>
  <c r="B1360" i="4"/>
  <c r="B1361" i="4"/>
  <c r="B1362" i="4"/>
  <c r="B1363" i="4"/>
  <c r="B1364" i="4"/>
  <c r="B1365" i="4"/>
  <c r="B1366" i="4"/>
  <c r="B1367" i="4"/>
  <c r="B1107" i="4"/>
  <c r="B1108" i="4"/>
  <c r="B1109" i="4"/>
  <c r="B1110" i="4"/>
  <c r="B1111" i="4"/>
  <c r="B1112" i="4"/>
  <c r="B1113" i="4"/>
  <c r="B1114" i="4"/>
  <c r="B1115" i="4"/>
  <c r="B1116" i="4"/>
  <c r="B1117" i="4"/>
  <c r="B1118" i="4"/>
  <c r="B1119" i="4"/>
  <c r="B1120" i="4"/>
  <c r="B1121" i="4"/>
  <c r="B1122" i="4"/>
  <c r="B1123" i="4"/>
  <c r="B1124" i="4"/>
  <c r="B1125" i="4"/>
  <c r="B1126" i="4"/>
  <c r="B1127" i="4"/>
  <c r="B1128" i="4"/>
  <c r="B1129" i="4"/>
  <c r="B1130" i="4"/>
  <c r="B1131" i="4"/>
  <c r="B1132" i="4"/>
  <c r="B1133" i="4"/>
  <c r="B1134" i="4"/>
  <c r="B1135" i="4"/>
  <c r="B1136" i="4"/>
  <c r="B1137" i="4"/>
  <c r="B1138" i="4"/>
  <c r="B1139" i="4"/>
  <c r="B1140" i="4"/>
  <c r="B1141" i="4"/>
  <c r="B1142" i="4"/>
  <c r="B1143" i="4"/>
  <c r="B1144" i="4"/>
  <c r="B1145" i="4"/>
  <c r="B1146" i="4"/>
  <c r="B1147" i="4"/>
  <c r="B1148" i="4"/>
  <c r="B1149" i="4"/>
  <c r="B1150" i="4"/>
  <c r="B1152" i="4"/>
  <c r="B1153" i="4"/>
  <c r="B1154" i="4"/>
  <c r="B1155" i="4"/>
  <c r="B1156" i="4"/>
  <c r="B1157" i="4"/>
  <c r="B1158" i="4"/>
  <c r="B1159" i="4"/>
  <c r="B1160" i="4"/>
  <c r="B1161" i="4"/>
  <c r="B1162" i="4"/>
  <c r="B1163" i="4"/>
  <c r="B1164" i="4"/>
  <c r="B1165" i="4"/>
  <c r="B1166" i="4"/>
  <c r="B1167" i="4"/>
  <c r="B1168" i="4"/>
  <c r="B1169" i="4"/>
  <c r="B1170" i="4"/>
  <c r="B1171" i="4"/>
  <c r="B1172" i="4"/>
  <c r="B1173" i="4"/>
  <c r="B1174" i="4"/>
  <c r="B1175" i="4"/>
  <c r="B1176" i="4"/>
  <c r="B1177" i="4"/>
  <c r="B1178" i="4"/>
  <c r="B1179" i="4"/>
  <c r="B1180" i="4"/>
  <c r="B1181" i="4"/>
  <c r="B1182" i="4"/>
  <c r="B1183" i="4"/>
  <c r="B1184" i="4"/>
  <c r="B1185" i="4"/>
  <c r="B1186" i="4"/>
  <c r="B1187" i="4"/>
  <c r="B1188" i="4"/>
  <c r="B1189" i="4"/>
  <c r="B1190" i="4"/>
  <c r="B1191" i="4"/>
  <c r="B1192" i="4"/>
  <c r="B1193" i="4"/>
  <c r="B1194" i="4"/>
  <c r="B1195" i="4"/>
  <c r="B1196" i="4"/>
  <c r="B1197" i="4"/>
  <c r="B1198" i="4"/>
  <c r="B1199" i="4"/>
  <c r="B1200" i="4"/>
  <c r="B1201" i="4"/>
  <c r="B1202" i="4"/>
  <c r="B1203" i="4"/>
  <c r="B1204" i="4"/>
  <c r="B1205" i="4"/>
  <c r="B1206" i="4"/>
  <c r="B1207" i="4"/>
  <c r="B1208" i="4"/>
  <c r="B1209" i="4"/>
  <c r="B1210" i="4"/>
  <c r="B1211" i="4"/>
  <c r="B1212" i="4"/>
  <c r="B1213" i="4"/>
  <c r="B1214" i="4"/>
  <c r="B1215" i="4"/>
  <c r="B1216" i="4"/>
  <c r="B1217" i="4"/>
  <c r="B1218" i="4"/>
  <c r="B1219" i="4"/>
  <c r="B1220" i="4"/>
  <c r="B1221" i="4"/>
  <c r="B1222" i="4"/>
  <c r="B1223" i="4"/>
  <c r="B1224" i="4"/>
  <c r="B1225" i="4"/>
  <c r="B1226" i="4"/>
  <c r="B1227" i="4"/>
  <c r="B1228" i="4"/>
  <c r="B1229" i="4"/>
  <c r="B1230" i="4"/>
  <c r="B1231" i="4"/>
  <c r="B1232" i="4"/>
  <c r="B1233" i="4"/>
  <c r="B1234" i="4"/>
  <c r="B1235" i="4"/>
  <c r="B1236" i="4"/>
  <c r="B1237" i="4"/>
  <c r="B1238" i="4"/>
  <c r="B1239" i="4"/>
  <c r="B1240" i="4"/>
  <c r="B1241" i="4"/>
  <c r="B1242" i="4"/>
  <c r="B1243" i="4"/>
  <c r="B1244" i="4"/>
  <c r="B1245" i="4"/>
  <c r="B1246" i="4"/>
  <c r="B1247" i="4"/>
  <c r="B1248" i="4"/>
  <c r="B1249" i="4"/>
  <c r="B1250" i="4"/>
  <c r="B1251" i="4"/>
  <c r="B1252" i="4"/>
  <c r="B1253" i="4"/>
  <c r="B1254" i="4"/>
  <c r="B1255" i="4"/>
  <c r="B1256" i="4"/>
  <c r="B1257" i="4"/>
  <c r="B1258" i="4"/>
  <c r="B1259" i="4"/>
  <c r="B1260" i="4"/>
  <c r="B1261" i="4"/>
  <c r="B1262" i="4"/>
  <c r="B1263" i="4"/>
  <c r="B1264" i="4"/>
  <c r="B1265" i="4"/>
  <c r="B1266" i="4"/>
  <c r="B1267" i="4"/>
  <c r="B1268" i="4"/>
  <c r="B1269" i="4"/>
  <c r="B1270" i="4"/>
  <c r="B1271" i="4"/>
  <c r="B1272" i="4"/>
  <c r="B1273" i="4"/>
  <c r="B1274" i="4"/>
  <c r="B1275" i="4"/>
  <c r="B1276" i="4"/>
  <c r="B1277" i="4"/>
  <c r="B1278" i="4"/>
  <c r="B1279" i="4"/>
  <c r="B1280" i="4"/>
  <c r="B1281" i="4"/>
  <c r="B1282" i="4"/>
  <c r="B1283" i="4"/>
  <c r="B1284" i="4"/>
  <c r="B1285" i="4"/>
  <c r="B1286" i="4"/>
  <c r="B1287" i="4"/>
  <c r="B1288" i="4"/>
  <c r="B1289" i="4"/>
  <c r="B1290" i="4"/>
  <c r="B1291" i="4"/>
  <c r="B1292" i="4"/>
  <c r="B1293" i="4"/>
  <c r="B1294" i="4"/>
  <c r="B1295" i="4"/>
  <c r="B1296" i="4"/>
  <c r="B1297" i="4"/>
  <c r="B1298" i="4"/>
  <c r="B1299" i="4"/>
  <c r="B1300" i="4"/>
  <c r="B1301" i="4"/>
  <c r="B1302" i="4"/>
  <c r="B1303" i="4"/>
  <c r="B1304" i="4"/>
  <c r="B1305" i="4"/>
  <c r="B1306" i="4"/>
  <c r="B1307" i="4"/>
  <c r="B1308" i="4"/>
  <c r="B1309" i="4"/>
  <c r="B1310" i="4"/>
  <c r="B1311" i="4"/>
  <c r="B1312" i="4"/>
  <c r="B1313" i="4"/>
  <c r="B1314" i="4"/>
  <c r="B1315" i="4"/>
  <c r="B1316" i="4"/>
  <c r="B1317" i="4"/>
  <c r="B1318" i="4"/>
  <c r="B325" i="4"/>
  <c r="B326"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5" i="4"/>
  <c r="B367" i="4"/>
  <c r="B368" i="4"/>
  <c r="B369" i="4"/>
  <c r="B370" i="4"/>
  <c r="B371" i="4"/>
  <c r="B372" i="4"/>
  <c r="B373" i="4"/>
  <c r="B374" i="4"/>
  <c r="B375" i="4"/>
  <c r="B376" i="4"/>
  <c r="B377" i="4"/>
  <c r="B378" i="4"/>
  <c r="B379" i="4"/>
  <c r="B380" i="4"/>
  <c r="B381" i="4"/>
  <c r="B382" i="4"/>
  <c r="B383" i="4"/>
  <c r="B384" i="4"/>
  <c r="B385" i="4"/>
  <c r="B386" i="4"/>
  <c r="B387"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B453" i="4"/>
  <c r="B454" i="4"/>
  <c r="B455" i="4"/>
  <c r="B456" i="4"/>
  <c r="B457" i="4"/>
  <c r="B458" i="4"/>
  <c r="B459" i="4"/>
  <c r="B460" i="4"/>
  <c r="B461" i="4"/>
  <c r="B462" i="4"/>
  <c r="B463" i="4"/>
  <c r="B464" i="4"/>
  <c r="B467" i="4"/>
  <c r="B468" i="4"/>
  <c r="B470" i="4"/>
  <c r="B471" i="4"/>
  <c r="B472" i="4"/>
  <c r="B473" i="4"/>
  <c r="B474" i="4"/>
  <c r="B475" i="4"/>
  <c r="B476" i="4"/>
  <c r="B477" i="4"/>
  <c r="B478" i="4"/>
  <c r="B479" i="4"/>
  <c r="B480" i="4"/>
  <c r="B481" i="4"/>
  <c r="B482" i="4"/>
  <c r="B483" i="4"/>
  <c r="B484" i="4"/>
  <c r="B485" i="4"/>
  <c r="B486" i="4"/>
  <c r="B487" i="4"/>
  <c r="B488" i="4"/>
  <c r="B489" i="4"/>
  <c r="B490" i="4"/>
  <c r="B491" i="4"/>
  <c r="B492" i="4"/>
  <c r="B493" i="4"/>
  <c r="B494" i="4"/>
  <c r="B495" i="4"/>
  <c r="B496" i="4"/>
  <c r="B497" i="4"/>
  <c r="B498" i="4"/>
  <c r="B499" i="4"/>
  <c r="B500" i="4"/>
  <c r="B501" i="4"/>
  <c r="B502" i="4"/>
  <c r="B503" i="4"/>
  <c r="B504" i="4"/>
  <c r="B505" i="4"/>
  <c r="B506" i="4"/>
  <c r="B507" i="4"/>
  <c r="B508" i="4"/>
  <c r="B509" i="4"/>
  <c r="B510" i="4"/>
  <c r="B511" i="4"/>
  <c r="B512" i="4"/>
  <c r="B513" i="4"/>
  <c r="B514" i="4"/>
  <c r="B515" i="4"/>
  <c r="B517" i="4"/>
  <c r="B518" i="4"/>
  <c r="B519" i="4"/>
  <c r="B520" i="4"/>
  <c r="B521" i="4"/>
  <c r="B522" i="4"/>
  <c r="B523" i="4"/>
  <c r="B524" i="4"/>
  <c r="B525" i="4"/>
  <c r="B526" i="4"/>
  <c r="B527" i="4"/>
  <c r="B528" i="4"/>
  <c r="B529" i="4"/>
  <c r="B531" i="4"/>
  <c r="B532" i="4"/>
  <c r="B534" i="4"/>
  <c r="B535" i="4"/>
  <c r="B536" i="4"/>
  <c r="B537" i="4"/>
  <c r="B538" i="4"/>
  <c r="B539" i="4"/>
  <c r="B540" i="4"/>
  <c r="B541" i="4"/>
  <c r="B542" i="4"/>
  <c r="B543" i="4"/>
  <c r="B544" i="4"/>
  <c r="B545" i="4"/>
  <c r="B546" i="4"/>
  <c r="B547" i="4"/>
  <c r="B548" i="4"/>
  <c r="B549" i="4"/>
  <c r="B550" i="4"/>
  <c r="B551" i="4"/>
  <c r="B552" i="4"/>
  <c r="B553" i="4"/>
  <c r="B554" i="4"/>
  <c r="B555" i="4"/>
  <c r="B556" i="4"/>
  <c r="B557" i="4"/>
  <c r="B558" i="4"/>
  <c r="B559" i="4"/>
  <c r="B560" i="4"/>
  <c r="B561" i="4"/>
  <c r="B562" i="4"/>
  <c r="B563" i="4"/>
  <c r="B564" i="4"/>
  <c r="B565" i="4"/>
  <c r="B566" i="4"/>
  <c r="B567" i="4"/>
  <c r="B568" i="4"/>
  <c r="B569" i="4"/>
  <c r="B570" i="4"/>
  <c r="B571" i="4"/>
  <c r="B573" i="4"/>
  <c r="B574" i="4"/>
  <c r="B575" i="4"/>
  <c r="B576" i="4"/>
  <c r="B577" i="4"/>
  <c r="B578" i="4"/>
  <c r="B579" i="4"/>
  <c r="B580" i="4"/>
  <c r="B581" i="4"/>
  <c r="B582" i="4"/>
  <c r="B583" i="4"/>
  <c r="B584" i="4"/>
  <c r="B585" i="4"/>
  <c r="B586" i="4"/>
  <c r="B587" i="4"/>
  <c r="B588" i="4"/>
  <c r="B589" i="4"/>
  <c r="B590" i="4"/>
  <c r="B591" i="4"/>
  <c r="B592" i="4"/>
  <c r="B593" i="4"/>
  <c r="B594" i="4"/>
  <c r="B595" i="4"/>
  <c r="B596" i="4"/>
  <c r="B598" i="4"/>
  <c r="B599" i="4"/>
  <c r="B600" i="4"/>
  <c r="B601" i="4"/>
  <c r="B602" i="4"/>
  <c r="B603" i="4"/>
  <c r="B604" i="4"/>
  <c r="B605" i="4"/>
  <c r="B606" i="4"/>
  <c r="B607" i="4"/>
  <c r="B608" i="4"/>
  <c r="B609" i="4"/>
  <c r="B610" i="4"/>
  <c r="B611" i="4"/>
  <c r="B612" i="4"/>
  <c r="B613" i="4"/>
  <c r="B614" i="4"/>
  <c r="B615" i="4"/>
  <c r="B616" i="4"/>
  <c r="B617" i="4"/>
  <c r="B618" i="4"/>
  <c r="B619" i="4"/>
  <c r="B620" i="4"/>
  <c r="B621" i="4"/>
  <c r="B622" i="4"/>
  <c r="B623" i="4"/>
  <c r="B624" i="4"/>
  <c r="B625" i="4"/>
  <c r="B626" i="4"/>
  <c r="B627" i="4"/>
  <c r="B628" i="4"/>
  <c r="B629" i="4"/>
  <c r="B630" i="4"/>
  <c r="B631" i="4"/>
  <c r="B632" i="4"/>
  <c r="B633" i="4"/>
  <c r="B634" i="4"/>
  <c r="B635" i="4"/>
  <c r="B636" i="4"/>
  <c r="B637" i="4"/>
  <c r="B638" i="4"/>
  <c r="B639" i="4"/>
  <c r="B640" i="4"/>
  <c r="B641" i="4"/>
  <c r="B642" i="4"/>
  <c r="B643" i="4"/>
  <c r="B645" i="4"/>
  <c r="B646" i="4"/>
  <c r="B647" i="4"/>
  <c r="B648" i="4"/>
  <c r="B649" i="4"/>
  <c r="B650" i="4"/>
  <c r="B651" i="4"/>
  <c r="B652" i="4"/>
  <c r="B653" i="4"/>
  <c r="B654" i="4"/>
  <c r="B655" i="4"/>
  <c r="B656" i="4"/>
  <c r="B657" i="4"/>
  <c r="B658" i="4"/>
  <c r="B659" i="4"/>
  <c r="B660" i="4"/>
  <c r="B661" i="4"/>
  <c r="B662" i="4"/>
  <c r="B663" i="4"/>
  <c r="B665" i="4"/>
  <c r="B666" i="4"/>
  <c r="B667" i="4"/>
  <c r="B668" i="4"/>
  <c r="B669" i="4"/>
  <c r="B670" i="4"/>
  <c r="B671" i="4"/>
  <c r="B672" i="4"/>
  <c r="B673" i="4"/>
  <c r="B674" i="4"/>
  <c r="B675" i="4"/>
  <c r="B676" i="4"/>
  <c r="B677" i="4"/>
  <c r="B678" i="4"/>
  <c r="B679" i="4"/>
  <c r="B680" i="4"/>
  <c r="B681" i="4"/>
  <c r="B682" i="4"/>
  <c r="B683" i="4"/>
  <c r="B684" i="4"/>
  <c r="B685" i="4"/>
  <c r="B686" i="4"/>
  <c r="B687" i="4"/>
  <c r="B688" i="4"/>
  <c r="B689" i="4"/>
  <c r="B690" i="4"/>
  <c r="B691" i="4"/>
  <c r="B692" i="4"/>
  <c r="B693" i="4"/>
  <c r="B694" i="4"/>
  <c r="B695" i="4"/>
  <c r="B696" i="4"/>
  <c r="B697" i="4"/>
  <c r="B698" i="4"/>
  <c r="B699" i="4"/>
  <c r="B700" i="4"/>
  <c r="B701" i="4"/>
  <c r="B702" i="4"/>
  <c r="B703" i="4"/>
  <c r="B704" i="4"/>
  <c r="B706" i="4"/>
  <c r="B707" i="4"/>
  <c r="B708" i="4"/>
  <c r="B709" i="4"/>
  <c r="B710" i="4"/>
  <c r="B711" i="4"/>
  <c r="B712" i="4"/>
  <c r="B713" i="4"/>
  <c r="B714" i="4"/>
  <c r="B715" i="4"/>
  <c r="B716" i="4"/>
  <c r="B717" i="4"/>
  <c r="B718" i="4"/>
  <c r="B719" i="4"/>
  <c r="B720" i="4"/>
  <c r="B721" i="4"/>
  <c r="B722" i="4"/>
  <c r="B723" i="4"/>
  <c r="B724" i="4"/>
  <c r="B725" i="4"/>
  <c r="B726" i="4"/>
  <c r="B727" i="4"/>
  <c r="B728" i="4"/>
  <c r="B730" i="4"/>
  <c r="B731" i="4"/>
  <c r="B732" i="4"/>
  <c r="B733" i="4"/>
  <c r="B734" i="4"/>
  <c r="B735" i="4"/>
  <c r="B736" i="4"/>
  <c r="B737" i="4"/>
  <c r="B738" i="4"/>
  <c r="B739" i="4"/>
  <c r="B740" i="4"/>
  <c r="B741" i="4"/>
  <c r="B742" i="4"/>
  <c r="B743" i="4"/>
  <c r="B744" i="4"/>
  <c r="B745" i="4"/>
  <c r="B746" i="4"/>
  <c r="B747" i="4"/>
  <c r="B748" i="4"/>
  <c r="B749" i="4"/>
  <c r="B750" i="4"/>
  <c r="B751" i="4"/>
  <c r="B752" i="4"/>
  <c r="B753" i="4"/>
  <c r="B754" i="4"/>
  <c r="B755" i="4"/>
  <c r="B756" i="4"/>
  <c r="B757" i="4"/>
  <c r="B758" i="4"/>
  <c r="B759" i="4"/>
  <c r="B760" i="4"/>
  <c r="B761" i="4"/>
  <c r="B762" i="4"/>
  <c r="B763" i="4"/>
  <c r="B764" i="4"/>
  <c r="B765" i="4"/>
  <c r="B766" i="4"/>
  <c r="B767" i="4"/>
  <c r="B768" i="4"/>
  <c r="B769" i="4"/>
  <c r="B770" i="4"/>
  <c r="B771" i="4"/>
  <c r="B772" i="4"/>
  <c r="B773" i="4"/>
  <c r="B774" i="4"/>
  <c r="B775" i="4"/>
  <c r="B776" i="4"/>
  <c r="B777" i="4"/>
  <c r="B778" i="4"/>
  <c r="B779" i="4"/>
  <c r="B780" i="4"/>
  <c r="B781" i="4"/>
  <c r="B782" i="4"/>
  <c r="B783" i="4"/>
  <c r="B784" i="4"/>
  <c r="B785" i="4"/>
  <c r="B786" i="4"/>
  <c r="B787" i="4"/>
  <c r="B788" i="4"/>
  <c r="B789" i="4"/>
  <c r="B790" i="4"/>
  <c r="B791" i="4"/>
  <c r="B792" i="4"/>
  <c r="B793" i="4"/>
  <c r="B794" i="4"/>
  <c r="B795" i="4"/>
  <c r="B796" i="4"/>
  <c r="B797" i="4"/>
  <c r="B798" i="4"/>
  <c r="B799" i="4"/>
  <c r="B800" i="4"/>
  <c r="B801" i="4"/>
  <c r="B802" i="4"/>
  <c r="B803" i="4"/>
  <c r="B804" i="4"/>
  <c r="B805" i="4"/>
  <c r="B806" i="4"/>
  <c r="B807" i="4"/>
  <c r="B808" i="4"/>
  <c r="B809" i="4"/>
  <c r="B810" i="4"/>
  <c r="B811" i="4"/>
  <c r="B812" i="4"/>
  <c r="B813" i="4"/>
  <c r="B814" i="4"/>
  <c r="B815" i="4"/>
  <c r="B816" i="4"/>
  <c r="B817" i="4"/>
  <c r="B818" i="4"/>
  <c r="B819" i="4"/>
  <c r="B820" i="4"/>
  <c r="B821" i="4"/>
  <c r="B822" i="4"/>
  <c r="B823" i="4"/>
  <c r="B824" i="4"/>
  <c r="B825" i="4"/>
  <c r="B826" i="4"/>
  <c r="B827" i="4"/>
  <c r="B828" i="4"/>
  <c r="B829" i="4"/>
  <c r="B830" i="4"/>
  <c r="B831" i="4"/>
  <c r="B832" i="4"/>
  <c r="B833" i="4"/>
  <c r="B834" i="4"/>
  <c r="B835" i="4"/>
  <c r="B836" i="4"/>
  <c r="B837" i="4"/>
  <c r="B838" i="4"/>
  <c r="B840" i="4"/>
  <c r="B841" i="4"/>
  <c r="B842" i="4"/>
  <c r="B843" i="4"/>
  <c r="B844" i="4"/>
  <c r="B845" i="4"/>
  <c r="B846" i="4"/>
  <c r="B847" i="4"/>
  <c r="B848" i="4"/>
  <c r="B849" i="4"/>
  <c r="B850" i="4"/>
  <c r="B851" i="4"/>
  <c r="B852" i="4"/>
  <c r="B853" i="4"/>
  <c r="B854" i="4"/>
  <c r="B855" i="4"/>
  <c r="B856" i="4"/>
  <c r="B857" i="4"/>
  <c r="B858" i="4"/>
  <c r="B859" i="4"/>
  <c r="B860" i="4"/>
  <c r="B861" i="4"/>
  <c r="B862" i="4"/>
  <c r="B863" i="4"/>
  <c r="B864" i="4"/>
  <c r="B865" i="4"/>
  <c r="B866" i="4"/>
  <c r="B867" i="4"/>
  <c r="B868" i="4"/>
  <c r="B869" i="4"/>
  <c r="B870" i="4"/>
  <c r="B871" i="4"/>
  <c r="B872" i="4"/>
  <c r="B873" i="4"/>
  <c r="B874" i="4"/>
  <c r="B875" i="4"/>
  <c r="B876" i="4"/>
  <c r="B877" i="4"/>
  <c r="B878" i="4"/>
  <c r="B879" i="4"/>
  <c r="B880" i="4"/>
  <c r="B881" i="4"/>
  <c r="B882" i="4"/>
  <c r="B883" i="4"/>
  <c r="B884" i="4"/>
  <c r="B885" i="4"/>
  <c r="B886" i="4"/>
  <c r="B887" i="4"/>
  <c r="B888" i="4"/>
  <c r="B889" i="4"/>
  <c r="B890" i="4"/>
  <c r="B891" i="4"/>
  <c r="B892" i="4"/>
  <c r="B893" i="4"/>
  <c r="B894" i="4"/>
  <c r="B895" i="4"/>
  <c r="B896" i="4"/>
  <c r="B897" i="4"/>
  <c r="B898" i="4"/>
  <c r="B899" i="4"/>
  <c r="B900" i="4"/>
  <c r="B901" i="4"/>
  <c r="B902" i="4"/>
  <c r="B903" i="4"/>
  <c r="B904" i="4"/>
  <c r="B905" i="4"/>
  <c r="B906" i="4"/>
  <c r="B907" i="4"/>
  <c r="B908" i="4"/>
  <c r="B909" i="4"/>
  <c r="B910" i="4"/>
  <c r="B911" i="4"/>
  <c r="B912" i="4"/>
  <c r="B913" i="4"/>
  <c r="B914" i="4"/>
  <c r="B915" i="4"/>
  <c r="B916" i="4"/>
  <c r="B917" i="4"/>
  <c r="B918" i="4"/>
  <c r="B919" i="4"/>
  <c r="B920" i="4"/>
  <c r="B921" i="4"/>
  <c r="B922" i="4"/>
  <c r="B923" i="4"/>
  <c r="B924" i="4"/>
  <c r="B925" i="4"/>
  <c r="B926" i="4"/>
  <c r="B927" i="4"/>
  <c r="B928" i="4"/>
  <c r="B929" i="4"/>
  <c r="B930" i="4"/>
  <c r="B931" i="4"/>
  <c r="B932" i="4"/>
  <c r="B933" i="4"/>
  <c r="B934" i="4"/>
  <c r="B935" i="4"/>
  <c r="B936" i="4"/>
  <c r="B937" i="4"/>
  <c r="B938" i="4"/>
  <c r="B939" i="4"/>
  <c r="B940" i="4"/>
  <c r="B941" i="4"/>
  <c r="B942" i="4"/>
  <c r="B943" i="4"/>
  <c r="B944" i="4"/>
  <c r="B945" i="4"/>
  <c r="B946" i="4"/>
  <c r="B947" i="4"/>
  <c r="B948" i="4"/>
  <c r="B949" i="4"/>
  <c r="B950" i="4"/>
  <c r="B951" i="4"/>
  <c r="B952" i="4"/>
  <c r="B953" i="4"/>
  <c r="B954" i="4"/>
  <c r="B955" i="4"/>
  <c r="B956" i="4"/>
  <c r="B957" i="4"/>
  <c r="B958" i="4"/>
  <c r="B959" i="4"/>
  <c r="B960" i="4"/>
  <c r="B961" i="4"/>
  <c r="B962" i="4"/>
  <c r="B963" i="4"/>
  <c r="B964" i="4"/>
  <c r="B965" i="4"/>
  <c r="B966" i="4"/>
  <c r="B967" i="4"/>
  <c r="B968" i="4"/>
  <c r="B969" i="4"/>
  <c r="B970" i="4"/>
  <c r="B971" i="4"/>
  <c r="B972" i="4"/>
  <c r="B973" i="4"/>
  <c r="B974" i="4"/>
  <c r="B975" i="4"/>
  <c r="B976" i="4"/>
  <c r="B977" i="4"/>
  <c r="B978" i="4"/>
  <c r="B979" i="4"/>
  <c r="B980" i="4"/>
  <c r="B981" i="4"/>
  <c r="B982" i="4"/>
  <c r="B983" i="4"/>
  <c r="B984" i="4"/>
  <c r="B985" i="4"/>
  <c r="B986" i="4"/>
  <c r="B987" i="4"/>
  <c r="B988" i="4"/>
  <c r="B989" i="4"/>
  <c r="B990" i="4"/>
  <c r="B991" i="4"/>
  <c r="B992" i="4"/>
  <c r="B993" i="4"/>
  <c r="B994" i="4"/>
  <c r="B995" i="4"/>
  <c r="B996" i="4"/>
  <c r="B997" i="4"/>
  <c r="B998" i="4"/>
  <c r="B999" i="4"/>
  <c r="B1000" i="4"/>
  <c r="B1001" i="4"/>
  <c r="B1002" i="4"/>
  <c r="B1003" i="4"/>
  <c r="B1004" i="4"/>
  <c r="B1005" i="4"/>
  <c r="B1006" i="4"/>
  <c r="B1007" i="4"/>
  <c r="B1008" i="4"/>
  <c r="B1009" i="4"/>
  <c r="B1010" i="4"/>
  <c r="B1011" i="4"/>
  <c r="B1012" i="4"/>
  <c r="B1013" i="4"/>
  <c r="B1014" i="4"/>
  <c r="B1015" i="4"/>
  <c r="B1016" i="4"/>
  <c r="B1017" i="4"/>
  <c r="B1018" i="4"/>
  <c r="B1019" i="4"/>
  <c r="B1020" i="4"/>
  <c r="B1021" i="4"/>
  <c r="B1022" i="4"/>
  <c r="B1023" i="4"/>
  <c r="B1024" i="4"/>
  <c r="B1025" i="4"/>
  <c r="B1026" i="4"/>
  <c r="B1027" i="4"/>
  <c r="B1028" i="4"/>
  <c r="B1029" i="4"/>
  <c r="B1030" i="4"/>
  <c r="B1031" i="4"/>
  <c r="B1032" i="4"/>
  <c r="B1033" i="4"/>
  <c r="B1034" i="4"/>
  <c r="B1035" i="4"/>
  <c r="B1036" i="4"/>
  <c r="B1037" i="4"/>
  <c r="B1039" i="4"/>
  <c r="B1040" i="4"/>
  <c r="B1041" i="4"/>
  <c r="B1042" i="4"/>
  <c r="B1043" i="4"/>
  <c r="B1044" i="4"/>
  <c r="B1045" i="4"/>
  <c r="B1046" i="4"/>
  <c r="B1047" i="4"/>
  <c r="B1048" i="4"/>
  <c r="B1049" i="4"/>
  <c r="B1050" i="4"/>
  <c r="B1051" i="4"/>
  <c r="B1052" i="4"/>
  <c r="B1053" i="4"/>
  <c r="B1054" i="4"/>
  <c r="B1055" i="4"/>
  <c r="B1056" i="4"/>
  <c r="B1057" i="4"/>
  <c r="B1058" i="4"/>
  <c r="B1059" i="4"/>
  <c r="B1060" i="4"/>
  <c r="B1061" i="4"/>
  <c r="B1062" i="4"/>
  <c r="B1064" i="4"/>
  <c r="B1065" i="4"/>
  <c r="B1066" i="4"/>
  <c r="B1067" i="4"/>
  <c r="B1068" i="4"/>
  <c r="B1069" i="4"/>
  <c r="B1070" i="4"/>
  <c r="B1071" i="4"/>
  <c r="B1072" i="4"/>
  <c r="B1073" i="4"/>
  <c r="B1074" i="4"/>
  <c r="B1075" i="4"/>
  <c r="B1076" i="4"/>
  <c r="B1077" i="4"/>
  <c r="B1078" i="4"/>
  <c r="B1079" i="4"/>
  <c r="B1080" i="4"/>
  <c r="B1081" i="4"/>
  <c r="B1082" i="4"/>
  <c r="B1083" i="4"/>
  <c r="B1084" i="4"/>
  <c r="B1085" i="4"/>
  <c r="B1086" i="4"/>
  <c r="B1087" i="4"/>
  <c r="B1088" i="4"/>
  <c r="B1089" i="4"/>
  <c r="B1090" i="4"/>
  <c r="B1091" i="4"/>
  <c r="B1092" i="4"/>
  <c r="B1093" i="4"/>
  <c r="B1094" i="4"/>
  <c r="B1095" i="4"/>
  <c r="B1096" i="4"/>
  <c r="B1097" i="4"/>
  <c r="B1098" i="4"/>
  <c r="B1099" i="4"/>
  <c r="B1100" i="4"/>
  <c r="B1101" i="4"/>
  <c r="B1102" i="4"/>
  <c r="B1103" i="4"/>
  <c r="B1104" i="4"/>
  <c r="B1105"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9" i="4"/>
  <c r="B311" i="4"/>
  <c r="B312" i="4"/>
  <c r="B313" i="4"/>
  <c r="B314" i="4"/>
  <c r="B315" i="4"/>
  <c r="B316" i="4"/>
  <c r="B317" i="4"/>
  <c r="B318" i="4"/>
  <c r="B319" i="4"/>
  <c r="B320" i="4"/>
  <c r="B321" i="4"/>
  <c r="B322" i="4"/>
  <c r="B323" i="4"/>
  <c r="B212" i="4"/>
  <c r="B213" i="4"/>
  <c r="B214" i="4"/>
  <c r="B215" i="4"/>
  <c r="B216" i="4"/>
  <c r="B217" i="4"/>
  <c r="B218" i="4"/>
  <c r="B219" i="4"/>
  <c r="B220" i="4"/>
  <c r="B221" i="4"/>
  <c r="B222" i="4"/>
  <c r="B211" i="4"/>
  <c r="AO131" i="1"/>
  <c r="I185" i="4"/>
  <c r="I186" i="4"/>
  <c r="I187" i="4"/>
  <c r="I188" i="4"/>
  <c r="I189" i="4"/>
  <c r="I190" i="4"/>
  <c r="I191" i="4"/>
  <c r="I192" i="4"/>
  <c r="I193" i="4"/>
  <c r="I194" i="4"/>
  <c r="I195" i="4"/>
  <c r="I196" i="4"/>
  <c r="I197" i="4"/>
  <c r="I198" i="4"/>
  <c r="I199" i="4"/>
  <c r="I200" i="4"/>
  <c r="I201" i="4"/>
  <c r="I202" i="4"/>
  <c r="I203" i="4"/>
  <c r="I204" i="4"/>
  <c r="I205" i="4"/>
  <c r="I206" i="4"/>
  <c r="I207" i="4"/>
  <c r="I208" i="4"/>
  <c r="I209"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M47" i="3"/>
  <c r="M46" i="3"/>
  <c r="M45" i="3"/>
  <c r="M44" i="3"/>
  <c r="M43" i="3"/>
  <c r="M42" i="3"/>
  <c r="M41" i="3"/>
  <c r="M40" i="3"/>
  <c r="M39" i="3"/>
  <c r="M38" i="3"/>
  <c r="M37" i="3"/>
  <c r="M36" i="3"/>
  <c r="M35" i="3"/>
  <c r="M34"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M4" i="3"/>
  <c r="M3" i="3"/>
  <c r="M2" i="3"/>
  <c r="M33" i="3"/>
  <c r="I164" i="4"/>
  <c r="I165" i="4"/>
  <c r="I166" i="4"/>
  <c r="I167" i="4"/>
  <c r="I168" i="4"/>
  <c r="I169" i="4"/>
  <c r="I170" i="4"/>
  <c r="I172" i="4"/>
  <c r="I173" i="4"/>
  <c r="I174" i="4"/>
  <c r="I175" i="4"/>
  <c r="I176" i="4"/>
  <c r="I177" i="4"/>
  <c r="I178" i="4"/>
  <c r="I179" i="4"/>
  <c r="I180" i="4"/>
  <c r="I181" i="4"/>
  <c r="I182" i="4"/>
  <c r="I183" i="4"/>
  <c r="I184"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29" i="4"/>
  <c r="B130" i="4"/>
  <c r="B131" i="4"/>
  <c r="B132" i="4"/>
  <c r="B133" i="4"/>
  <c r="B134" i="4"/>
  <c r="B135" i="4"/>
  <c r="B136" i="4"/>
  <c r="B137" i="4"/>
  <c r="B138" i="4"/>
  <c r="B139" i="4"/>
  <c r="B140" i="4"/>
  <c r="B141" i="4"/>
  <c r="B142" i="4"/>
  <c r="B143" i="4"/>
  <c r="B144" i="4"/>
  <c r="D25" i="3"/>
  <c r="P123" i="4"/>
  <c r="I125" i="4"/>
  <c r="I126" i="4"/>
  <c r="I127" i="4"/>
  <c r="I129" i="4"/>
  <c r="I130" i="4"/>
  <c r="I131" i="4"/>
  <c r="I132" i="4"/>
  <c r="I133" i="4"/>
  <c r="I134" i="4"/>
  <c r="I135" i="4"/>
  <c r="I136" i="4"/>
  <c r="I137" i="4"/>
  <c r="I138" i="4"/>
  <c r="I139" i="4"/>
  <c r="I140" i="4"/>
  <c r="I141" i="4"/>
  <c r="I142" i="4"/>
  <c r="I143" i="4"/>
  <c r="I144" i="4"/>
  <c r="I146" i="4"/>
  <c r="I147" i="4"/>
  <c r="I148" i="4"/>
  <c r="I149" i="4"/>
  <c r="I150" i="4"/>
  <c r="I151" i="4"/>
  <c r="I152" i="4"/>
  <c r="I153" i="4"/>
  <c r="I154" i="4"/>
  <c r="I155" i="4"/>
  <c r="I156" i="4"/>
  <c r="I157" i="4"/>
  <c r="I158" i="4"/>
  <c r="I159" i="4"/>
  <c r="I160" i="4"/>
  <c r="I161" i="4"/>
  <c r="I162" i="4"/>
  <c r="I163" i="4"/>
  <c r="I123" i="4"/>
  <c r="B125" i="4"/>
  <c r="B126" i="4"/>
  <c r="B127" i="4"/>
  <c r="B123" i="4"/>
  <c r="J23" i="3"/>
  <c r="D23" i="3"/>
  <c r="J24" i="3"/>
  <c r="D24" i="3"/>
  <c r="D22" i="3"/>
  <c r="D21" i="3"/>
  <c r="J20" i="3"/>
  <c r="D20" i="3"/>
  <c r="D19" i="3"/>
  <c r="J18" i="3"/>
  <c r="D18" i="3"/>
  <c r="J17" i="3"/>
  <c r="D17" i="3"/>
  <c r="J16" i="3"/>
  <c r="D16" i="3"/>
  <c r="J15" i="3"/>
  <c r="D15" i="3"/>
  <c r="J14" i="3"/>
  <c r="D14" i="3"/>
  <c r="J13" i="3"/>
  <c r="D13" i="3"/>
  <c r="J12" i="3"/>
  <c r="D12" i="3"/>
  <c r="D11" i="3"/>
  <c r="D10" i="3"/>
  <c r="J9" i="3"/>
  <c r="D9" i="3"/>
  <c r="D8" i="3"/>
  <c r="D7" i="3"/>
  <c r="J6" i="3"/>
  <c r="D6" i="3"/>
  <c r="J5" i="3"/>
  <c r="D5" i="3"/>
  <c r="J4" i="3"/>
  <c r="D4" i="3"/>
  <c r="J3" i="3"/>
  <c r="D3" i="3"/>
  <c r="J2" i="3"/>
  <c r="D2" i="3"/>
  <c r="F2" i="12"/>
  <c r="F63" i="12"/>
  <c r="F62" i="12"/>
  <c r="F61" i="12"/>
  <c r="F60" i="12"/>
  <c r="F59"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6" i="12"/>
  <c r="F25" i="12"/>
  <c r="F24" i="12"/>
  <c r="F23" i="12"/>
  <c r="F22" i="12"/>
  <c r="F21" i="12"/>
  <c r="F20" i="12"/>
  <c r="F19" i="12"/>
  <c r="F18" i="12"/>
  <c r="F17" i="12"/>
  <c r="F16" i="12"/>
  <c r="F15" i="12"/>
  <c r="F14" i="12"/>
  <c r="F13" i="12"/>
  <c r="F12" i="12"/>
  <c r="F11" i="12"/>
  <c r="F10" i="12"/>
  <c r="F9" i="12"/>
  <c r="F8" i="12"/>
  <c r="F7" i="12"/>
  <c r="F6" i="12"/>
  <c r="F5" i="12"/>
  <c r="F4" i="12"/>
  <c r="F55" i="12"/>
  <c r="F56" i="12"/>
  <c r="F57" i="12"/>
  <c r="F58" i="12"/>
  <c r="F27" i="12"/>
  <c r="X2" i="3"/>
  <c r="X209" i="3"/>
  <c r="X208" i="3"/>
  <c r="X207" i="3"/>
  <c r="X206" i="3"/>
  <c r="X205" i="3"/>
  <c r="X204" i="3"/>
  <c r="X203" i="3"/>
  <c r="X202" i="3"/>
  <c r="X201" i="3"/>
  <c r="X200" i="3"/>
  <c r="X199" i="3"/>
  <c r="X198" i="3"/>
  <c r="X197" i="3"/>
  <c r="X196" i="3"/>
  <c r="X195" i="3"/>
  <c r="X194" i="3"/>
  <c r="X193" i="3"/>
  <c r="X192" i="3"/>
  <c r="X191" i="3"/>
  <c r="X190" i="3"/>
  <c r="X189" i="3"/>
  <c r="X188" i="3"/>
  <c r="X187" i="3"/>
  <c r="X186" i="3"/>
  <c r="X185" i="3"/>
  <c r="X184" i="3"/>
  <c r="X183" i="3"/>
  <c r="X182" i="3"/>
  <c r="X181" i="3"/>
  <c r="X180" i="3"/>
  <c r="X179" i="3"/>
  <c r="X178" i="3"/>
  <c r="X177" i="3"/>
  <c r="X176" i="3"/>
  <c r="X175" i="3"/>
  <c r="X174" i="3"/>
  <c r="X173" i="3"/>
  <c r="X172" i="3"/>
  <c r="X171" i="3"/>
  <c r="X170" i="3"/>
  <c r="X169" i="3"/>
  <c r="X168" i="3"/>
  <c r="X167" i="3"/>
  <c r="X166" i="3"/>
  <c r="X165" i="3"/>
  <c r="X164" i="3"/>
  <c r="X163" i="3"/>
  <c r="X162" i="3"/>
  <c r="X161" i="3"/>
  <c r="X160" i="3"/>
  <c r="X159" i="3"/>
  <c r="X158" i="3"/>
  <c r="X157" i="3"/>
  <c r="X156" i="3"/>
  <c r="X155" i="3"/>
  <c r="X154" i="3"/>
  <c r="X153" i="3"/>
  <c r="X152" i="3"/>
  <c r="X151" i="3"/>
  <c r="X150" i="3"/>
  <c r="X149" i="3"/>
  <c r="X148" i="3"/>
  <c r="X147" i="3"/>
  <c r="X146" i="3"/>
  <c r="X145" i="3"/>
  <c r="X144" i="3"/>
  <c r="X143" i="3"/>
  <c r="X142" i="3"/>
  <c r="X141" i="3"/>
  <c r="X140" i="3"/>
  <c r="X139" i="3"/>
  <c r="X138" i="3"/>
  <c r="X137" i="3"/>
  <c r="X136" i="3"/>
  <c r="X135" i="3"/>
  <c r="X134" i="3"/>
  <c r="X133" i="3"/>
  <c r="X132" i="3"/>
  <c r="X131" i="3"/>
  <c r="X130" i="3"/>
  <c r="X129" i="3"/>
  <c r="X128" i="3"/>
  <c r="X127" i="3"/>
  <c r="X126" i="3"/>
  <c r="X125" i="3"/>
  <c r="X124" i="3"/>
  <c r="X123" i="3"/>
  <c r="X122" i="3"/>
  <c r="X121" i="3"/>
  <c r="X120" i="3"/>
  <c r="X119" i="3"/>
  <c r="X118" i="3"/>
  <c r="X117" i="3"/>
  <c r="X116" i="3"/>
  <c r="X115" i="3"/>
  <c r="X114" i="3"/>
  <c r="X113" i="3"/>
  <c r="X112" i="3"/>
  <c r="X111" i="3"/>
  <c r="X110" i="3"/>
  <c r="X109" i="3"/>
  <c r="X108" i="3"/>
  <c r="X107" i="3"/>
  <c r="X106" i="3"/>
  <c r="X105" i="3"/>
  <c r="X104" i="3"/>
  <c r="X103" i="3"/>
  <c r="X102" i="3"/>
  <c r="X101" i="3"/>
  <c r="X100" i="3"/>
  <c r="X99" i="3"/>
  <c r="X98" i="3"/>
  <c r="X97" i="3"/>
  <c r="X96" i="3"/>
  <c r="X95" i="3"/>
  <c r="X94" i="3"/>
  <c r="X93" i="3"/>
  <c r="X92" i="3"/>
  <c r="X91" i="3"/>
  <c r="X90" i="3"/>
  <c r="X89" i="3"/>
  <c r="X88" i="3"/>
  <c r="X87" i="3"/>
  <c r="X86" i="3"/>
  <c r="X85" i="3"/>
  <c r="X84" i="3"/>
  <c r="X83" i="3"/>
  <c r="X82" i="3"/>
  <c r="X81" i="3"/>
  <c r="X80" i="3"/>
  <c r="X79" i="3"/>
  <c r="X78" i="3"/>
  <c r="X77" i="3"/>
  <c r="X76" i="3"/>
  <c r="X75" i="3"/>
  <c r="X74" i="3"/>
  <c r="X73" i="3"/>
  <c r="X72" i="3"/>
  <c r="X71" i="3"/>
  <c r="X70" i="3"/>
  <c r="X69" i="3"/>
  <c r="X68" i="3"/>
  <c r="X67" i="3"/>
  <c r="X66" i="3"/>
  <c r="X65" i="3"/>
  <c r="X64" i="3"/>
  <c r="X63" i="3"/>
  <c r="X62" i="3"/>
  <c r="X61" i="3"/>
  <c r="X60" i="3"/>
  <c r="X59" i="3"/>
  <c r="X58" i="3"/>
  <c r="X57" i="3"/>
  <c r="X56" i="3"/>
  <c r="X55" i="3"/>
  <c r="X54" i="3"/>
  <c r="X53" i="3"/>
  <c r="X52" i="3"/>
  <c r="X51" i="3"/>
  <c r="X50" i="3"/>
  <c r="X49" i="3"/>
  <c r="X48" i="3"/>
  <c r="X47" i="3"/>
  <c r="X46" i="3"/>
  <c r="X45" i="3"/>
  <c r="X44" i="3"/>
  <c r="X43" i="3"/>
  <c r="X42" i="3"/>
  <c r="X41" i="3"/>
  <c r="X40" i="3"/>
  <c r="X39" i="3"/>
  <c r="X38" i="3"/>
  <c r="X37" i="3"/>
  <c r="X36" i="3"/>
  <c r="X35" i="3"/>
  <c r="X34" i="3"/>
  <c r="X33" i="3"/>
  <c r="X32" i="3"/>
  <c r="X31" i="3"/>
  <c r="X30" i="3"/>
  <c r="X29" i="3"/>
  <c r="X28" i="3"/>
  <c r="X27" i="3"/>
  <c r="X26" i="3"/>
  <c r="X25" i="3"/>
  <c r="X24" i="3"/>
  <c r="X23" i="3"/>
  <c r="X22" i="3"/>
  <c r="X21" i="3"/>
  <c r="X20" i="3"/>
  <c r="X19" i="3"/>
  <c r="X18" i="3"/>
  <c r="X17" i="3"/>
  <c r="X16" i="3"/>
  <c r="X15" i="3"/>
  <c r="X14" i="3"/>
  <c r="X13" i="3"/>
  <c r="X12" i="3"/>
  <c r="X11" i="3"/>
  <c r="X10" i="3"/>
  <c r="X9" i="3"/>
  <c r="X8" i="3"/>
  <c r="X7" i="3"/>
  <c r="X6" i="3"/>
  <c r="X5" i="3"/>
  <c r="X4" i="3"/>
  <c r="X3" i="3"/>
  <c r="F3" i="12"/>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197" i="3"/>
  <c r="Q198" i="3"/>
  <c r="Q199" i="3"/>
  <c r="Q200" i="3"/>
  <c r="Q201" i="3"/>
  <c r="Q202" i="3"/>
  <c r="Q203" i="3"/>
  <c r="Q204" i="3"/>
  <c r="Q205" i="3"/>
  <c r="Q206" i="3"/>
  <c r="Q207" i="3"/>
  <c r="Q208" i="3"/>
  <c r="Q209" i="3"/>
  <c r="Q210" i="3"/>
  <c r="Q211" i="3"/>
  <c r="Q212" i="3"/>
  <c r="Q213" i="3"/>
  <c r="Q214" i="3"/>
  <c r="Q215" i="3"/>
  <c r="Q216" i="3"/>
  <c r="Q217" i="3"/>
  <c r="Q218" i="3"/>
  <c r="Q219" i="3"/>
  <c r="Q220" i="3"/>
  <c r="Q221" i="3"/>
  <c r="E221" i="3"/>
  <c r="O221" i="3"/>
  <c r="U221" i="3"/>
  <c r="M221" i="3"/>
  <c r="E220" i="3"/>
  <c r="O220" i="3"/>
  <c r="U220" i="3"/>
  <c r="M220" i="3"/>
  <c r="E219" i="3"/>
  <c r="O219" i="3"/>
  <c r="U219" i="3"/>
  <c r="M219" i="3"/>
  <c r="E218" i="3"/>
  <c r="O218" i="3"/>
  <c r="U218" i="3"/>
  <c r="M218" i="3"/>
  <c r="E217" i="3"/>
  <c r="O217" i="3"/>
  <c r="U217" i="3"/>
  <c r="M217" i="3"/>
  <c r="E216" i="3"/>
  <c r="O216" i="3"/>
  <c r="U216" i="3"/>
  <c r="M216" i="3"/>
  <c r="E215" i="3"/>
  <c r="O215" i="3"/>
  <c r="U215" i="3"/>
  <c r="M215" i="3"/>
  <c r="E214" i="3"/>
  <c r="O214" i="3"/>
  <c r="U214" i="3"/>
  <c r="M214" i="3"/>
  <c r="E213" i="3"/>
  <c r="O213" i="3"/>
  <c r="U213" i="3"/>
  <c r="M213" i="3"/>
  <c r="E212" i="3"/>
  <c r="O212" i="3"/>
  <c r="U212" i="3"/>
  <c r="M212" i="3"/>
  <c r="E211" i="3"/>
  <c r="O211" i="3"/>
  <c r="U211" i="3"/>
  <c r="M211" i="3"/>
  <c r="E210" i="3"/>
  <c r="O210" i="3"/>
  <c r="U210" i="3"/>
  <c r="M210" i="3"/>
  <c r="E198" i="3"/>
  <c r="E199" i="3"/>
  <c r="E200" i="3"/>
  <c r="E202" i="3"/>
  <c r="E203" i="3"/>
  <c r="E207" i="3"/>
  <c r="E209" i="3"/>
  <c r="O123" i="3"/>
  <c r="U123" i="3"/>
  <c r="O124" i="3"/>
  <c r="U124" i="3"/>
  <c r="O125" i="3"/>
  <c r="U125" i="3"/>
  <c r="O126" i="3"/>
  <c r="U126" i="3"/>
  <c r="O127" i="3"/>
  <c r="U127" i="3"/>
  <c r="O128" i="3"/>
  <c r="U128" i="3"/>
  <c r="O129" i="3"/>
  <c r="U129" i="3"/>
  <c r="O130" i="3"/>
  <c r="U130" i="3"/>
  <c r="O131" i="3"/>
  <c r="U131" i="3"/>
  <c r="O132" i="3"/>
  <c r="U132" i="3"/>
  <c r="O133" i="3"/>
  <c r="U133" i="3"/>
  <c r="O134" i="3"/>
  <c r="U134" i="3"/>
  <c r="O135" i="3"/>
  <c r="U135" i="3"/>
  <c r="O136" i="3"/>
  <c r="U136" i="3"/>
  <c r="O137" i="3"/>
  <c r="U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E194" i="3"/>
  <c r="O194" i="3"/>
  <c r="U194" i="3"/>
  <c r="E195" i="3"/>
  <c r="O195" i="3"/>
  <c r="U195" i="3"/>
  <c r="E196" i="3"/>
  <c r="O196" i="3"/>
  <c r="U196" i="3"/>
  <c r="E197" i="3"/>
  <c r="O197" i="3"/>
  <c r="U197" i="3"/>
  <c r="O198" i="3"/>
  <c r="U198" i="3"/>
  <c r="O199" i="3"/>
  <c r="U199" i="3"/>
  <c r="O200" i="3"/>
  <c r="U200" i="3"/>
  <c r="E201" i="3"/>
  <c r="O201" i="3"/>
  <c r="U201" i="3"/>
  <c r="O202" i="3"/>
  <c r="U202" i="3"/>
  <c r="O203" i="3"/>
  <c r="U203" i="3"/>
  <c r="E204" i="3"/>
  <c r="O204" i="3"/>
  <c r="U204" i="3"/>
  <c r="E205" i="3"/>
  <c r="O205" i="3"/>
  <c r="U205" i="3"/>
  <c r="E206" i="3"/>
  <c r="O206" i="3"/>
  <c r="U206" i="3"/>
  <c r="O207" i="3"/>
  <c r="U207" i="3"/>
  <c r="E208" i="3"/>
  <c r="O208" i="3"/>
  <c r="U208" i="3"/>
  <c r="O209" i="3"/>
  <c r="U209" i="3"/>
  <c r="M208" i="3"/>
  <c r="M206" i="3"/>
  <c r="M205" i="3"/>
  <c r="M204" i="3"/>
  <c r="M201" i="3"/>
  <c r="M196" i="3"/>
  <c r="M194" i="3"/>
  <c r="F155" i="3"/>
  <c r="F156" i="3"/>
  <c r="F157" i="3"/>
  <c r="F158" i="3"/>
  <c r="F160" i="3"/>
  <c r="F161" i="3"/>
  <c r="G161" i="3"/>
  <c r="F159" i="3"/>
  <c r="G159" i="3"/>
  <c r="F154" i="3"/>
  <c r="G154" i="3"/>
  <c r="F153" i="3"/>
  <c r="G153" i="3"/>
  <c r="F152" i="3"/>
  <c r="G152" i="3"/>
  <c r="F151" i="3"/>
  <c r="G151" i="3"/>
  <c r="F150" i="3"/>
  <c r="G150" i="3"/>
  <c r="F138" i="3"/>
  <c r="G138" i="3"/>
  <c r="F139" i="3"/>
  <c r="G139" i="3"/>
  <c r="F140" i="3"/>
  <c r="G140" i="3"/>
  <c r="F141" i="3"/>
  <c r="G141" i="3"/>
  <c r="F142" i="3"/>
  <c r="G142" i="3"/>
  <c r="F143" i="3"/>
  <c r="F144" i="3"/>
  <c r="F145" i="3"/>
  <c r="F146" i="3"/>
  <c r="F147" i="3"/>
  <c r="G147" i="3"/>
  <c r="F148" i="3"/>
  <c r="F149" i="3"/>
  <c r="G149" i="3"/>
  <c r="F162" i="3"/>
  <c r="G162" i="3"/>
  <c r="F163" i="3"/>
  <c r="G163" i="3"/>
  <c r="F164" i="3"/>
  <c r="G164" i="3"/>
  <c r="F165" i="3"/>
  <c r="G165" i="3"/>
  <c r="F166" i="3"/>
  <c r="G166" i="3"/>
  <c r="F167" i="3"/>
  <c r="F168" i="3"/>
  <c r="F169" i="3"/>
  <c r="F170" i="3"/>
  <c r="F171" i="3"/>
  <c r="G171" i="3"/>
  <c r="F172" i="3"/>
  <c r="F173" i="3"/>
  <c r="G173" i="3"/>
  <c r="F174" i="3"/>
  <c r="G174" i="3"/>
  <c r="F175" i="3"/>
  <c r="G175" i="3"/>
  <c r="F176" i="3"/>
  <c r="G176" i="3"/>
  <c r="F177" i="3"/>
  <c r="G177" i="3"/>
  <c r="F178" i="3"/>
  <c r="G178" i="3"/>
  <c r="F179" i="3"/>
  <c r="G179" i="3"/>
  <c r="F180" i="3"/>
  <c r="F181" i="3"/>
  <c r="F182" i="3"/>
  <c r="F183" i="3"/>
  <c r="G183" i="3"/>
  <c r="H195" i="3"/>
  <c r="F184" i="3"/>
  <c r="F185" i="3"/>
  <c r="G185" i="3"/>
  <c r="H197" i="3"/>
  <c r="F186" i="3"/>
  <c r="G186" i="3"/>
  <c r="H198" i="3"/>
  <c r="F187" i="3"/>
  <c r="G187" i="3"/>
  <c r="H199" i="3"/>
  <c r="F188" i="3"/>
  <c r="G188" i="3"/>
  <c r="H200" i="3"/>
  <c r="F189" i="3"/>
  <c r="G189" i="3"/>
  <c r="F190" i="3"/>
  <c r="G190" i="3"/>
  <c r="H202" i="3"/>
  <c r="F191" i="3"/>
  <c r="G191" i="3"/>
  <c r="H203" i="3"/>
  <c r="F192" i="3"/>
  <c r="F193" i="3"/>
  <c r="F194" i="3"/>
  <c r="K194" i="3"/>
  <c r="F195" i="3"/>
  <c r="G195" i="3"/>
  <c r="K195" i="3"/>
  <c r="H207" i="3"/>
  <c r="M195" i="3"/>
  <c r="F196" i="3"/>
  <c r="K196" i="3"/>
  <c r="F197" i="3"/>
  <c r="G197" i="3"/>
  <c r="K197" i="3"/>
  <c r="H209" i="3"/>
  <c r="M197" i="3"/>
  <c r="F198" i="3"/>
  <c r="G198" i="3"/>
  <c r="K198" i="3"/>
  <c r="F199" i="3"/>
  <c r="G199" i="3"/>
  <c r="K199" i="3"/>
  <c r="F200" i="3"/>
  <c r="G200" i="3"/>
  <c r="K200" i="3"/>
  <c r="F201" i="3"/>
  <c r="K201" i="3"/>
  <c r="F202" i="3"/>
  <c r="G202" i="3"/>
  <c r="K202" i="3"/>
  <c r="F203" i="3"/>
  <c r="G203" i="3"/>
  <c r="K203" i="3"/>
  <c r="F204" i="3"/>
  <c r="K204" i="3"/>
  <c r="F205" i="3"/>
  <c r="K205" i="3"/>
  <c r="F206" i="3"/>
  <c r="K206" i="3"/>
  <c r="F207" i="3"/>
  <c r="G207" i="3"/>
  <c r="K207" i="3"/>
  <c r="F208" i="3"/>
  <c r="K208" i="3"/>
  <c r="F209" i="3"/>
  <c r="G209" i="3"/>
  <c r="K209" i="3"/>
  <c r="R209" i="3"/>
  <c r="G208" i="3"/>
  <c r="H208" i="3"/>
  <c r="R208" i="3"/>
  <c r="R207" i="3"/>
  <c r="G206" i="3"/>
  <c r="H206" i="3"/>
  <c r="R206" i="3"/>
  <c r="G205" i="3"/>
  <c r="H205" i="3"/>
  <c r="R205" i="3"/>
  <c r="G204" i="3"/>
  <c r="H204" i="3"/>
  <c r="R204" i="3"/>
  <c r="R203" i="3"/>
  <c r="R202" i="3"/>
  <c r="G201" i="3"/>
  <c r="H201" i="3"/>
  <c r="R201" i="3"/>
  <c r="R200" i="3"/>
  <c r="R199" i="3"/>
  <c r="R198" i="3"/>
  <c r="R197" i="3"/>
  <c r="G196" i="3"/>
  <c r="H196" i="3"/>
  <c r="R196" i="3"/>
  <c r="R195" i="3"/>
  <c r="G194" i="3"/>
  <c r="H194" i="3"/>
  <c r="R194" i="3"/>
  <c r="G193" i="3"/>
  <c r="R193" i="3"/>
  <c r="G192" i="3"/>
  <c r="R192" i="3"/>
  <c r="R191" i="3"/>
  <c r="R190" i="3"/>
  <c r="R189" i="3"/>
  <c r="R188" i="3"/>
  <c r="R187" i="3"/>
  <c r="R186" i="3"/>
  <c r="R185" i="3"/>
  <c r="G184" i="3"/>
  <c r="R184" i="3"/>
  <c r="R183" i="3"/>
  <c r="G182" i="3"/>
  <c r="R182" i="3"/>
  <c r="G181" i="3"/>
  <c r="R181" i="3"/>
  <c r="G180" i="3"/>
  <c r="R180" i="3"/>
  <c r="R179" i="3"/>
  <c r="R178" i="3"/>
  <c r="R177" i="3"/>
  <c r="R176" i="3"/>
  <c r="R175" i="3"/>
  <c r="R174" i="3"/>
  <c r="R173" i="3"/>
  <c r="G172" i="3"/>
  <c r="R172" i="3"/>
  <c r="R171" i="3"/>
  <c r="G170" i="3"/>
  <c r="R170" i="3"/>
  <c r="G169" i="3"/>
  <c r="R169" i="3"/>
  <c r="G168" i="3"/>
  <c r="R168" i="3"/>
  <c r="G167" i="3"/>
  <c r="R167" i="3"/>
  <c r="R166" i="3"/>
  <c r="R165" i="3"/>
  <c r="R164" i="3"/>
  <c r="R163" i="3"/>
  <c r="R162" i="3"/>
  <c r="R161" i="3"/>
  <c r="G160" i="3"/>
  <c r="R160" i="3"/>
  <c r="R159" i="3"/>
  <c r="G158" i="3"/>
  <c r="R158" i="3"/>
  <c r="G157" i="3"/>
  <c r="R157" i="3"/>
  <c r="G156" i="3"/>
  <c r="R156" i="3"/>
  <c r="G155" i="3"/>
  <c r="R155" i="3"/>
  <c r="R154" i="3"/>
  <c r="R153" i="3"/>
  <c r="R152" i="3"/>
  <c r="R151" i="3"/>
  <c r="R150" i="3"/>
  <c r="R149" i="3"/>
  <c r="G148" i="3"/>
  <c r="R148" i="3"/>
  <c r="R147" i="3"/>
  <c r="G146" i="3"/>
  <c r="R146" i="3"/>
  <c r="G145" i="3"/>
  <c r="R145" i="3"/>
  <c r="G144" i="3"/>
  <c r="R144" i="3"/>
  <c r="G143" i="3"/>
  <c r="R143" i="3"/>
  <c r="R142" i="3"/>
  <c r="R141" i="3"/>
  <c r="R140" i="3"/>
  <c r="R139" i="3"/>
  <c r="R138" i="3"/>
  <c r="R137" i="3"/>
  <c r="R136" i="3"/>
  <c r="R135" i="3"/>
  <c r="R134" i="3"/>
  <c r="R133" i="3"/>
  <c r="R132" i="3"/>
  <c r="R131" i="3"/>
  <c r="R130" i="3"/>
  <c r="R129" i="3"/>
  <c r="R128" i="3"/>
  <c r="R127" i="3"/>
  <c r="R126" i="3"/>
  <c r="R125" i="3"/>
  <c r="R124" i="3"/>
  <c r="R123" i="3"/>
  <c r="H221" i="3"/>
  <c r="M209" i="3"/>
  <c r="H219" i="3"/>
  <c r="M207" i="3"/>
  <c r="H215" i="3"/>
  <c r="M203" i="3"/>
  <c r="H214" i="3"/>
  <c r="M202" i="3"/>
  <c r="H212" i="3"/>
  <c r="M200" i="3"/>
  <c r="H211" i="3"/>
  <c r="M199" i="3"/>
  <c r="H210" i="3"/>
  <c r="M198" i="3"/>
  <c r="F210" i="3"/>
  <c r="G210" i="3"/>
  <c r="K210" i="3"/>
  <c r="R210" i="3"/>
  <c r="F211" i="3"/>
  <c r="G211" i="3"/>
  <c r="K211" i="3"/>
  <c r="R211" i="3"/>
  <c r="F212" i="3"/>
  <c r="G212" i="3"/>
  <c r="K212" i="3"/>
  <c r="R212" i="3"/>
  <c r="F213" i="3"/>
  <c r="K213" i="3"/>
  <c r="G213" i="3"/>
  <c r="H213" i="3"/>
  <c r="R213" i="3"/>
  <c r="F214" i="3"/>
  <c r="G214" i="3"/>
  <c r="K214" i="3"/>
  <c r="R214" i="3"/>
  <c r="F215" i="3"/>
  <c r="G215" i="3"/>
  <c r="K215" i="3"/>
  <c r="R215" i="3"/>
  <c r="F216" i="3"/>
  <c r="K216" i="3"/>
  <c r="G216" i="3"/>
  <c r="H216" i="3"/>
  <c r="R216" i="3"/>
  <c r="F217" i="3"/>
  <c r="K217" i="3"/>
  <c r="G217" i="3"/>
  <c r="H217" i="3"/>
  <c r="R217" i="3"/>
  <c r="F218" i="3"/>
  <c r="K218" i="3"/>
  <c r="G218" i="3"/>
  <c r="H218" i="3"/>
  <c r="R218" i="3"/>
  <c r="F219" i="3"/>
  <c r="G219" i="3"/>
  <c r="K219" i="3"/>
  <c r="R219" i="3"/>
  <c r="F220" i="3"/>
  <c r="K220" i="3"/>
  <c r="G220" i="3"/>
  <c r="H220" i="3"/>
  <c r="R220" i="3"/>
  <c r="F221" i="3"/>
  <c r="G221" i="3"/>
  <c r="K221" i="3"/>
  <c r="R221"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AB505" i="4"/>
  <c r="AB504" i="4"/>
  <c r="B4" i="13"/>
  <c r="B5" i="13"/>
  <c r="B6" i="13"/>
  <c r="B7" i="13"/>
  <c r="B8" i="13"/>
  <c r="B9" i="13"/>
  <c r="B10" i="13"/>
  <c r="B11" i="13"/>
  <c r="B12" i="13"/>
  <c r="B13" i="13"/>
  <c r="B14" i="13"/>
  <c r="B15" i="13"/>
  <c r="B16" i="13"/>
  <c r="B17" i="13"/>
  <c r="B18" i="13"/>
  <c r="B19" i="13"/>
  <c r="B20" i="13"/>
  <c r="B21" i="13"/>
  <c r="B24" i="13"/>
  <c r="AB687" i="4"/>
  <c r="AB720" i="4"/>
  <c r="AB443" i="4"/>
  <c r="AB368" i="4"/>
  <c r="H138" i="3"/>
  <c r="I138" i="3"/>
  <c r="H139" i="3"/>
  <c r="I139" i="3"/>
  <c r="H140" i="3"/>
  <c r="I140" i="3"/>
  <c r="H141" i="3"/>
  <c r="I141" i="3"/>
  <c r="H142" i="3"/>
  <c r="I142" i="3"/>
  <c r="H143" i="3"/>
  <c r="I143" i="3"/>
  <c r="H144" i="3"/>
  <c r="I144" i="3"/>
  <c r="H145" i="3"/>
  <c r="I145" i="3"/>
  <c r="H146" i="3"/>
  <c r="I146" i="3"/>
  <c r="H147" i="3"/>
  <c r="I147" i="3"/>
  <c r="H148" i="3"/>
  <c r="I148" i="3"/>
  <c r="H149" i="3"/>
  <c r="I149" i="3"/>
  <c r="H150" i="3"/>
  <c r="I150" i="3"/>
  <c r="H151" i="3"/>
  <c r="I151" i="3"/>
  <c r="H152" i="3"/>
  <c r="I152" i="3"/>
  <c r="H153" i="3"/>
  <c r="I153" i="3"/>
  <c r="H154" i="3"/>
  <c r="I154" i="3"/>
  <c r="H155" i="3"/>
  <c r="I155" i="3"/>
  <c r="H156" i="3"/>
  <c r="I156" i="3"/>
  <c r="H157" i="3"/>
  <c r="I157" i="3"/>
  <c r="H158" i="3"/>
  <c r="I158" i="3"/>
  <c r="H159" i="3"/>
  <c r="I159" i="3"/>
  <c r="H160" i="3"/>
  <c r="I160" i="3"/>
  <c r="H161" i="3"/>
  <c r="I161" i="3"/>
  <c r="H162" i="3"/>
  <c r="I162" i="3"/>
  <c r="H163" i="3"/>
  <c r="I163" i="3"/>
  <c r="H164" i="3"/>
  <c r="I164" i="3"/>
  <c r="H165" i="3"/>
  <c r="I165" i="3"/>
  <c r="H166" i="3"/>
  <c r="I166" i="3"/>
  <c r="H167" i="3"/>
  <c r="I167" i="3"/>
  <c r="H168" i="3"/>
  <c r="I168" i="3"/>
  <c r="H169" i="3"/>
  <c r="I169" i="3"/>
  <c r="H170" i="3"/>
  <c r="I170" i="3"/>
  <c r="H171" i="3"/>
  <c r="I171" i="3"/>
  <c r="H172" i="3"/>
  <c r="I172" i="3"/>
  <c r="H173" i="3"/>
  <c r="I173" i="3"/>
  <c r="H174" i="3"/>
  <c r="I174" i="3"/>
  <c r="H175" i="3"/>
  <c r="I175" i="3"/>
  <c r="H176" i="3"/>
  <c r="I176" i="3"/>
  <c r="H177" i="3"/>
  <c r="I177" i="3"/>
  <c r="H178" i="3"/>
  <c r="I178" i="3"/>
  <c r="H179" i="3"/>
  <c r="I179" i="3"/>
  <c r="H180" i="3"/>
  <c r="I180" i="3"/>
  <c r="H181" i="3"/>
  <c r="I181" i="3"/>
  <c r="H182" i="3"/>
  <c r="I182" i="3"/>
  <c r="H183" i="3"/>
  <c r="I183" i="3"/>
  <c r="H184" i="3"/>
  <c r="I184" i="3"/>
  <c r="H185" i="3"/>
  <c r="I185" i="3"/>
  <c r="H186" i="3"/>
  <c r="I186" i="3"/>
  <c r="H187" i="3"/>
  <c r="I187" i="3"/>
  <c r="H188" i="3"/>
  <c r="I188" i="3"/>
  <c r="H189" i="3"/>
  <c r="I189" i="3"/>
  <c r="H190" i="3"/>
  <c r="I190" i="3"/>
  <c r="H191" i="3"/>
  <c r="I191" i="3"/>
  <c r="H192" i="3"/>
  <c r="I192" i="3"/>
  <c r="H193" i="3"/>
  <c r="I193" i="3"/>
  <c r="R5" i="13"/>
  <c r="E138" i="3"/>
  <c r="U138" i="3"/>
  <c r="E139" i="3"/>
  <c r="U139" i="3"/>
  <c r="E140" i="3"/>
  <c r="U140" i="3"/>
  <c r="E141" i="3"/>
  <c r="U141" i="3"/>
  <c r="E142" i="3"/>
  <c r="U142" i="3"/>
  <c r="E143" i="3"/>
  <c r="U143" i="3"/>
  <c r="E144" i="3"/>
  <c r="U144" i="3"/>
  <c r="E145" i="3"/>
  <c r="U145" i="3"/>
  <c r="E146" i="3"/>
  <c r="U146" i="3"/>
  <c r="E147" i="3"/>
  <c r="U147" i="3"/>
  <c r="E148" i="3"/>
  <c r="U148" i="3"/>
  <c r="E149" i="3"/>
  <c r="U149" i="3"/>
  <c r="E150" i="3"/>
  <c r="U150" i="3"/>
  <c r="E151" i="3"/>
  <c r="U151" i="3"/>
  <c r="E152" i="3"/>
  <c r="U152" i="3"/>
  <c r="E153" i="3"/>
  <c r="U153" i="3"/>
  <c r="E154" i="3"/>
  <c r="U154" i="3"/>
  <c r="E155" i="3"/>
  <c r="U155" i="3"/>
  <c r="E156" i="3"/>
  <c r="U156" i="3"/>
  <c r="E157" i="3"/>
  <c r="U157" i="3"/>
  <c r="E158" i="3"/>
  <c r="U158" i="3"/>
  <c r="E159" i="3"/>
  <c r="U159" i="3"/>
  <c r="E160" i="3"/>
  <c r="U160" i="3"/>
  <c r="E161" i="3"/>
  <c r="U161" i="3"/>
  <c r="E162" i="3"/>
  <c r="U162" i="3"/>
  <c r="E163" i="3"/>
  <c r="U163" i="3"/>
  <c r="E164" i="3"/>
  <c r="U164" i="3"/>
  <c r="E165" i="3"/>
  <c r="U165" i="3"/>
  <c r="E166" i="3"/>
  <c r="U166" i="3"/>
  <c r="E167" i="3"/>
  <c r="U167" i="3"/>
  <c r="E168" i="3"/>
  <c r="U168" i="3"/>
  <c r="E169" i="3"/>
  <c r="U169" i="3"/>
  <c r="E170" i="3"/>
  <c r="U170" i="3"/>
  <c r="E171" i="3"/>
  <c r="U171" i="3"/>
  <c r="E172" i="3"/>
  <c r="U172" i="3"/>
  <c r="E173" i="3"/>
  <c r="U173" i="3"/>
  <c r="E174" i="3"/>
  <c r="U174" i="3"/>
  <c r="E175" i="3"/>
  <c r="U175" i="3"/>
  <c r="E176" i="3"/>
  <c r="U176" i="3"/>
  <c r="E177" i="3"/>
  <c r="U177" i="3"/>
  <c r="E178" i="3"/>
  <c r="U178" i="3"/>
  <c r="E179" i="3"/>
  <c r="U179" i="3"/>
  <c r="E180" i="3"/>
  <c r="U180" i="3"/>
  <c r="E181" i="3"/>
  <c r="U181" i="3"/>
  <c r="E182" i="3"/>
  <c r="U182" i="3"/>
  <c r="E183" i="3"/>
  <c r="U183" i="3"/>
  <c r="E184" i="3"/>
  <c r="U184" i="3"/>
  <c r="E185" i="3"/>
  <c r="U185" i="3"/>
  <c r="E186" i="3"/>
  <c r="U186" i="3"/>
  <c r="E187" i="3"/>
  <c r="U187" i="3"/>
  <c r="E188" i="3"/>
  <c r="U188" i="3"/>
  <c r="E189" i="3"/>
  <c r="U189" i="3"/>
  <c r="E190" i="3"/>
  <c r="U190" i="3"/>
  <c r="E191" i="3"/>
  <c r="U191" i="3"/>
  <c r="E192" i="3"/>
  <c r="U192" i="3"/>
  <c r="E193" i="3"/>
  <c r="U193" i="3"/>
  <c r="R6" i="13"/>
  <c r="R7" i="13"/>
  <c r="R8" i="13"/>
  <c r="R9" i="13"/>
  <c r="R10" i="13"/>
  <c r="R11" i="13"/>
  <c r="R12" i="13"/>
  <c r="R13" i="13"/>
  <c r="R14" i="13"/>
  <c r="R15" i="13"/>
  <c r="R16" i="13"/>
  <c r="R17" i="13"/>
  <c r="R18" i="13"/>
  <c r="R19" i="13"/>
  <c r="R20" i="13"/>
  <c r="R21" i="13"/>
  <c r="R4" i="13"/>
  <c r="K193" i="3"/>
  <c r="K192" i="3"/>
  <c r="M191" i="3"/>
  <c r="K191" i="3"/>
  <c r="M190" i="3"/>
  <c r="K190" i="3"/>
  <c r="K189" i="3"/>
  <c r="M188" i="3"/>
  <c r="K188" i="3"/>
  <c r="M187" i="3"/>
  <c r="K187" i="3"/>
  <c r="M186" i="3"/>
  <c r="K186" i="3"/>
  <c r="M185" i="3"/>
  <c r="K185" i="3"/>
  <c r="K184" i="3"/>
  <c r="M183" i="3"/>
  <c r="K183" i="3"/>
  <c r="K182" i="3"/>
  <c r="K181" i="3"/>
  <c r="K180" i="3"/>
  <c r="M179" i="3"/>
  <c r="K179" i="3"/>
  <c r="M178" i="3"/>
  <c r="K178" i="3"/>
  <c r="M177" i="3"/>
  <c r="K177" i="3"/>
  <c r="M176" i="3"/>
  <c r="K176" i="3"/>
  <c r="M175" i="3"/>
  <c r="K175" i="3"/>
  <c r="M174" i="3"/>
  <c r="K174" i="3"/>
  <c r="M162" i="3"/>
  <c r="M163" i="3"/>
  <c r="M164" i="3"/>
  <c r="M165" i="3"/>
  <c r="M166" i="3"/>
  <c r="M171" i="3"/>
  <c r="M173" i="3"/>
  <c r="K173" i="3"/>
  <c r="K172" i="3"/>
  <c r="K171" i="3"/>
  <c r="K170" i="3"/>
  <c r="K169" i="3"/>
  <c r="K168" i="3"/>
  <c r="K167" i="3"/>
  <c r="K166" i="3"/>
  <c r="K165" i="3"/>
  <c r="K164" i="3"/>
  <c r="K163" i="3"/>
  <c r="K162" i="3"/>
  <c r="M149" i="3"/>
  <c r="K149" i="3"/>
  <c r="K148" i="3"/>
  <c r="M147" i="3"/>
  <c r="K147" i="3"/>
  <c r="K146" i="3"/>
  <c r="K145" i="3"/>
  <c r="K144" i="3"/>
  <c r="K143" i="3"/>
  <c r="M142" i="3"/>
  <c r="K142" i="3"/>
  <c r="M141" i="3"/>
  <c r="K141" i="3"/>
  <c r="M140" i="3"/>
  <c r="K140" i="3"/>
  <c r="M139" i="3"/>
  <c r="K139" i="3"/>
  <c r="M138" i="3"/>
  <c r="K138" i="3"/>
  <c r="M137" i="3"/>
  <c r="M135" i="3"/>
  <c r="M130" i="3"/>
  <c r="M129" i="3"/>
  <c r="M128" i="3"/>
  <c r="M127" i="3"/>
  <c r="M126" i="3"/>
  <c r="K150" i="3"/>
  <c r="M150" i="3"/>
  <c r="K151" i="3"/>
  <c r="M151" i="3"/>
  <c r="K152" i="3"/>
  <c r="M152" i="3"/>
  <c r="K153" i="3"/>
  <c r="M153" i="3"/>
  <c r="K154" i="3"/>
  <c r="M154" i="3"/>
  <c r="K159" i="3"/>
  <c r="M159" i="3"/>
  <c r="K161" i="3"/>
  <c r="M161" i="3"/>
  <c r="K160" i="3"/>
  <c r="K158" i="3"/>
  <c r="K157" i="3"/>
  <c r="K156" i="3"/>
  <c r="K155" i="3"/>
  <c r="M155" i="3"/>
  <c r="M156" i="3"/>
  <c r="M157" i="3"/>
  <c r="M158" i="3"/>
  <c r="M160" i="3"/>
  <c r="M143" i="3"/>
  <c r="M144" i="3"/>
  <c r="M145" i="3"/>
  <c r="M146" i="3"/>
  <c r="M148" i="3"/>
  <c r="M167" i="3"/>
  <c r="M168" i="3"/>
  <c r="M169" i="3"/>
  <c r="M170" i="3"/>
  <c r="M172" i="3"/>
  <c r="M180" i="3"/>
  <c r="M181" i="3"/>
  <c r="M182" i="3"/>
  <c r="M184" i="3"/>
  <c r="M189" i="3"/>
  <c r="M192" i="3"/>
  <c r="M193" i="3"/>
  <c r="F75" i="12"/>
  <c r="AB367" i="4"/>
  <c r="AB451" i="4"/>
  <c r="V2" i="3"/>
  <c r="V221" i="3"/>
  <c r="V220" i="3"/>
  <c r="V219" i="3"/>
  <c r="V218" i="3"/>
  <c r="V217" i="3"/>
  <c r="V216" i="3"/>
  <c r="V215" i="3"/>
  <c r="V214" i="3"/>
  <c r="V213" i="3"/>
  <c r="V212" i="3"/>
  <c r="V211" i="3"/>
  <c r="V210" i="3"/>
  <c r="V209" i="3"/>
  <c r="V208" i="3"/>
  <c r="V207" i="3"/>
  <c r="V206" i="3"/>
  <c r="V205" i="3"/>
  <c r="V204" i="3"/>
  <c r="V203" i="3"/>
  <c r="V202" i="3"/>
  <c r="V201" i="3"/>
  <c r="V200" i="3"/>
  <c r="V199" i="3"/>
  <c r="V198" i="3"/>
  <c r="V197" i="3"/>
  <c r="V196" i="3"/>
  <c r="V195" i="3"/>
  <c r="V194" i="3"/>
  <c r="V193" i="3"/>
  <c r="V192" i="3"/>
  <c r="V191" i="3"/>
  <c r="V190" i="3"/>
  <c r="V189" i="3"/>
  <c r="V188" i="3"/>
  <c r="V187" i="3"/>
  <c r="V186" i="3"/>
  <c r="V185" i="3"/>
  <c r="V184" i="3"/>
  <c r="V183" i="3"/>
  <c r="V182" i="3"/>
  <c r="V181" i="3"/>
  <c r="V180" i="3"/>
  <c r="V179" i="3"/>
  <c r="V178" i="3"/>
  <c r="V177" i="3"/>
  <c r="V176" i="3"/>
  <c r="V175" i="3"/>
  <c r="V174" i="3"/>
  <c r="V173" i="3"/>
  <c r="V172" i="3"/>
  <c r="V171" i="3"/>
  <c r="V170" i="3"/>
  <c r="V169" i="3"/>
  <c r="V168" i="3"/>
  <c r="V167" i="3"/>
  <c r="V166" i="3"/>
  <c r="V165" i="3"/>
  <c r="V164" i="3"/>
  <c r="V163" i="3"/>
  <c r="V162" i="3"/>
  <c r="V161" i="3"/>
  <c r="V160" i="3"/>
  <c r="V159" i="3"/>
  <c r="V158" i="3"/>
  <c r="V157" i="3"/>
  <c r="V156" i="3"/>
  <c r="V155" i="3"/>
  <c r="V154" i="3"/>
  <c r="V153" i="3"/>
  <c r="V152" i="3"/>
  <c r="V151" i="3"/>
  <c r="V150" i="3"/>
  <c r="V149" i="3"/>
  <c r="V148" i="3"/>
  <c r="V147" i="3"/>
  <c r="V146" i="3"/>
  <c r="V145" i="3"/>
  <c r="V144" i="3"/>
  <c r="V143" i="3"/>
  <c r="V142" i="3"/>
  <c r="V141" i="3"/>
  <c r="V140" i="3"/>
  <c r="V139" i="3"/>
  <c r="V138" i="3"/>
  <c r="V137" i="3"/>
  <c r="V136" i="3"/>
  <c r="V135" i="3"/>
  <c r="V134" i="3"/>
  <c r="V133" i="3"/>
  <c r="V132" i="3"/>
  <c r="V131" i="3"/>
  <c r="V130" i="3"/>
  <c r="V129" i="3"/>
  <c r="V128" i="3"/>
  <c r="V127" i="3"/>
  <c r="V126" i="3"/>
  <c r="V125" i="3"/>
  <c r="V124" i="3"/>
  <c r="V123" i="3"/>
  <c r="V122" i="3"/>
  <c r="V121" i="3"/>
  <c r="V120" i="3"/>
  <c r="V119" i="3"/>
  <c r="V118" i="3"/>
  <c r="V117" i="3"/>
  <c r="V116" i="3"/>
  <c r="V115" i="3"/>
  <c r="V114" i="3"/>
  <c r="V113" i="3"/>
  <c r="V112" i="3"/>
  <c r="V111" i="3"/>
  <c r="V110" i="3"/>
  <c r="V109" i="3"/>
  <c r="V108" i="3"/>
  <c r="V106" i="3"/>
  <c r="V105" i="3"/>
  <c r="V104" i="3"/>
  <c r="V103" i="3"/>
  <c r="V102" i="3"/>
  <c r="V101" i="3"/>
  <c r="V100" i="3"/>
  <c r="V99" i="3"/>
  <c r="V98" i="3"/>
  <c r="V97" i="3"/>
  <c r="V96" i="3"/>
  <c r="V95" i="3"/>
  <c r="V94" i="3"/>
  <c r="V93" i="3"/>
  <c r="V92" i="3"/>
  <c r="V91" i="3"/>
  <c r="V90" i="3"/>
  <c r="V89" i="3"/>
  <c r="V88" i="3"/>
  <c r="V87" i="3"/>
  <c r="V86" i="3"/>
  <c r="V85" i="3"/>
  <c r="V84" i="3"/>
  <c r="V83" i="3"/>
  <c r="V82" i="3"/>
  <c r="V81" i="3"/>
  <c r="V80" i="3"/>
  <c r="V79" i="3"/>
  <c r="V78" i="3"/>
  <c r="V77" i="3"/>
  <c r="V76" i="3"/>
  <c r="V75" i="3"/>
  <c r="V74" i="3"/>
  <c r="V73" i="3"/>
  <c r="V72" i="3"/>
  <c r="V71" i="3"/>
  <c r="V70" i="3"/>
  <c r="V69" i="3"/>
  <c r="V68" i="3"/>
  <c r="V67" i="3"/>
  <c r="V66" i="3"/>
  <c r="V65" i="3"/>
  <c r="V64" i="3"/>
  <c r="V63" i="3"/>
  <c r="V62" i="3"/>
  <c r="V61" i="3"/>
  <c r="V60" i="3"/>
  <c r="V59" i="3"/>
  <c r="V58" i="3"/>
  <c r="V57" i="3"/>
  <c r="V56" i="3"/>
  <c r="V55" i="3"/>
  <c r="V54" i="3"/>
  <c r="V53" i="3"/>
  <c r="V52" i="3"/>
  <c r="V51" i="3"/>
  <c r="V50" i="3"/>
  <c r="V49" i="3"/>
  <c r="V48" i="3"/>
  <c r="V47" i="3"/>
  <c r="V46" i="3"/>
  <c r="V45" i="3"/>
  <c r="V44" i="3"/>
  <c r="V43" i="3"/>
  <c r="V42" i="3"/>
  <c r="V41" i="3"/>
  <c r="V40" i="3"/>
  <c r="V39" i="3"/>
  <c r="V38" i="3"/>
  <c r="V37" i="3"/>
  <c r="V36" i="3"/>
  <c r="V35" i="3"/>
  <c r="V34" i="3"/>
  <c r="V33" i="3"/>
  <c r="V32" i="3"/>
  <c r="V31" i="3"/>
  <c r="V30" i="3"/>
  <c r="V29" i="3"/>
  <c r="V28" i="3"/>
  <c r="V27" i="3"/>
  <c r="V26" i="3"/>
  <c r="V25" i="3"/>
  <c r="V24" i="3"/>
  <c r="V23" i="3"/>
  <c r="V22" i="3"/>
  <c r="V21" i="3"/>
  <c r="V20" i="3"/>
  <c r="V19" i="3"/>
  <c r="V18" i="3"/>
  <c r="V17" i="3"/>
  <c r="V16" i="3"/>
  <c r="V15" i="3"/>
  <c r="V14" i="3"/>
  <c r="V13" i="3"/>
  <c r="V12" i="3"/>
  <c r="V11" i="3"/>
  <c r="V10" i="3"/>
  <c r="V9" i="3"/>
  <c r="V8" i="3"/>
  <c r="V7" i="3"/>
  <c r="V6" i="3"/>
  <c r="V5" i="3"/>
  <c r="V4" i="3"/>
  <c r="V3" i="3"/>
  <c r="V107" i="3"/>
  <c r="T221" i="3"/>
  <c r="S221" i="3"/>
  <c r="T220" i="3"/>
  <c r="S220" i="3"/>
  <c r="T219" i="3"/>
  <c r="S219" i="3"/>
  <c r="T218" i="3"/>
  <c r="S218" i="3"/>
  <c r="T217" i="3"/>
  <c r="S217" i="3"/>
  <c r="T216" i="3"/>
  <c r="S216" i="3"/>
  <c r="T215" i="3"/>
  <c r="S215" i="3"/>
  <c r="T214" i="3"/>
  <c r="S214" i="3"/>
  <c r="T213" i="3"/>
  <c r="S213" i="3"/>
  <c r="T212" i="3"/>
  <c r="S212" i="3"/>
  <c r="T211" i="3"/>
  <c r="S211" i="3"/>
  <c r="T210" i="3"/>
  <c r="S210" i="3"/>
  <c r="T209" i="3"/>
  <c r="S209" i="3"/>
  <c r="T208" i="3"/>
  <c r="S208" i="3"/>
  <c r="T207" i="3"/>
  <c r="S207" i="3"/>
  <c r="T206" i="3"/>
  <c r="S206" i="3"/>
  <c r="T205" i="3"/>
  <c r="S205" i="3"/>
  <c r="T204" i="3"/>
  <c r="S204" i="3"/>
  <c r="T203" i="3"/>
  <c r="S203" i="3"/>
  <c r="T202" i="3"/>
  <c r="S202" i="3"/>
  <c r="T201" i="3"/>
  <c r="S201" i="3"/>
  <c r="T200" i="3"/>
  <c r="S200" i="3"/>
  <c r="T199" i="3"/>
  <c r="S199" i="3"/>
  <c r="T198" i="3"/>
  <c r="S198" i="3"/>
  <c r="T197" i="3"/>
  <c r="S197" i="3"/>
  <c r="T196" i="3"/>
  <c r="S196" i="3"/>
  <c r="T195" i="3"/>
  <c r="S195" i="3"/>
  <c r="T194" i="3"/>
  <c r="S194" i="3"/>
  <c r="T193" i="3"/>
  <c r="S193" i="3"/>
  <c r="T192" i="3"/>
  <c r="S192" i="3"/>
  <c r="T191" i="3"/>
  <c r="S191" i="3"/>
  <c r="T190" i="3"/>
  <c r="S190" i="3"/>
  <c r="T189" i="3"/>
  <c r="S189" i="3"/>
  <c r="T188" i="3"/>
  <c r="S188" i="3"/>
  <c r="T187" i="3"/>
  <c r="S187" i="3"/>
  <c r="T186" i="3"/>
  <c r="S186" i="3"/>
  <c r="T185" i="3"/>
  <c r="S185" i="3"/>
  <c r="T184" i="3"/>
  <c r="S184" i="3"/>
  <c r="T183" i="3"/>
  <c r="S183" i="3"/>
  <c r="T182" i="3"/>
  <c r="S182" i="3"/>
  <c r="T181" i="3"/>
  <c r="S181" i="3"/>
  <c r="T180" i="3"/>
  <c r="S180" i="3"/>
  <c r="T179" i="3"/>
  <c r="S179" i="3"/>
  <c r="T178" i="3"/>
  <c r="S178" i="3"/>
  <c r="T177" i="3"/>
  <c r="S177" i="3"/>
  <c r="T176" i="3"/>
  <c r="S176" i="3"/>
  <c r="T175" i="3"/>
  <c r="S175" i="3"/>
  <c r="T174" i="3"/>
  <c r="S174" i="3"/>
  <c r="T173" i="3"/>
  <c r="S173" i="3"/>
  <c r="T172" i="3"/>
  <c r="S172" i="3"/>
  <c r="T171" i="3"/>
  <c r="S171" i="3"/>
  <c r="T170" i="3"/>
  <c r="S170" i="3"/>
  <c r="T169" i="3"/>
  <c r="S169" i="3"/>
  <c r="T168" i="3"/>
  <c r="S168" i="3"/>
  <c r="T167" i="3"/>
  <c r="S167" i="3"/>
  <c r="T166" i="3"/>
  <c r="S166" i="3"/>
  <c r="T165" i="3"/>
  <c r="S165" i="3"/>
  <c r="T164" i="3"/>
  <c r="S164" i="3"/>
  <c r="T163" i="3"/>
  <c r="S163" i="3"/>
  <c r="T162" i="3"/>
  <c r="S162" i="3"/>
  <c r="T161" i="3"/>
  <c r="S161" i="3"/>
  <c r="T160" i="3"/>
  <c r="S160" i="3"/>
  <c r="T159" i="3"/>
  <c r="S159" i="3"/>
  <c r="T158" i="3"/>
  <c r="S158" i="3"/>
  <c r="T157" i="3"/>
  <c r="S157" i="3"/>
  <c r="T156" i="3"/>
  <c r="S156" i="3"/>
  <c r="T155" i="3"/>
  <c r="S155" i="3"/>
  <c r="T154" i="3"/>
  <c r="S154" i="3"/>
  <c r="T153" i="3"/>
  <c r="S153" i="3"/>
  <c r="T152" i="3"/>
  <c r="S152" i="3"/>
  <c r="T151" i="3"/>
  <c r="S151" i="3"/>
  <c r="T150" i="3"/>
  <c r="S150" i="3"/>
  <c r="T149" i="3"/>
  <c r="S149" i="3"/>
  <c r="T148" i="3"/>
  <c r="S148" i="3"/>
  <c r="T147" i="3"/>
  <c r="S147" i="3"/>
  <c r="T146" i="3"/>
  <c r="S146" i="3"/>
  <c r="T145" i="3"/>
  <c r="S145" i="3"/>
  <c r="T144" i="3"/>
  <c r="S144" i="3"/>
  <c r="T143" i="3"/>
  <c r="S143" i="3"/>
  <c r="T142" i="3"/>
  <c r="S142" i="3"/>
  <c r="T141" i="3"/>
  <c r="S141" i="3"/>
  <c r="T140" i="3"/>
  <c r="S140" i="3"/>
  <c r="T139" i="3"/>
  <c r="S139" i="3"/>
  <c r="T138" i="3"/>
  <c r="S138" i="3"/>
  <c r="T137" i="3"/>
  <c r="S137" i="3"/>
  <c r="T136" i="3"/>
  <c r="S136" i="3"/>
  <c r="T135" i="3"/>
  <c r="S135" i="3"/>
  <c r="T134" i="3"/>
  <c r="S134" i="3"/>
  <c r="T133" i="3"/>
  <c r="S133" i="3"/>
  <c r="T132" i="3"/>
  <c r="S132" i="3"/>
  <c r="T131" i="3"/>
  <c r="S131" i="3"/>
  <c r="T130" i="3"/>
  <c r="S130" i="3"/>
  <c r="T129" i="3"/>
  <c r="S129" i="3"/>
  <c r="T128" i="3"/>
  <c r="S128" i="3"/>
  <c r="T127" i="3"/>
  <c r="S127" i="3"/>
  <c r="T126" i="3"/>
  <c r="S126" i="3"/>
  <c r="T125" i="3"/>
  <c r="S125" i="3"/>
  <c r="T124" i="3"/>
  <c r="S124" i="3"/>
  <c r="T123" i="3"/>
  <c r="S123" i="3"/>
  <c r="Q3" i="3"/>
  <c r="Q3" i="4"/>
  <c r="S3" i="3"/>
  <c r="S3" i="4"/>
  <c r="Q4" i="3"/>
  <c r="Q4" i="4"/>
  <c r="S4" i="3"/>
  <c r="S4" i="4"/>
  <c r="Q5" i="3"/>
  <c r="Q5" i="4"/>
  <c r="S5" i="3"/>
  <c r="S5" i="4"/>
  <c r="Q6" i="3"/>
  <c r="Q6" i="4"/>
  <c r="S6" i="3"/>
  <c r="S6" i="4"/>
  <c r="Q7" i="3"/>
  <c r="Q7" i="4"/>
  <c r="S7" i="3"/>
  <c r="S7" i="4"/>
  <c r="Q8" i="3"/>
  <c r="Q8" i="4"/>
  <c r="S8" i="3"/>
  <c r="S8" i="4"/>
  <c r="Q9" i="3"/>
  <c r="Q9" i="4"/>
  <c r="S9" i="3"/>
  <c r="S9" i="4"/>
  <c r="Q10" i="3"/>
  <c r="Q10" i="4"/>
  <c r="S10" i="3"/>
  <c r="S10" i="4"/>
  <c r="Q11" i="3"/>
  <c r="Q11" i="4"/>
  <c r="S11" i="3"/>
  <c r="S11" i="4"/>
  <c r="Q12" i="3"/>
  <c r="Q12" i="4"/>
  <c r="S12" i="3"/>
  <c r="S12" i="4"/>
  <c r="Q13" i="3"/>
  <c r="Q13" i="4"/>
  <c r="S13" i="3"/>
  <c r="S13" i="4"/>
  <c r="Q14" i="3"/>
  <c r="Q14" i="4"/>
  <c r="S14" i="3"/>
  <c r="S14" i="4"/>
  <c r="Q15" i="3"/>
  <c r="Q15" i="4"/>
  <c r="S15" i="3"/>
  <c r="S15" i="4"/>
  <c r="Q16" i="3"/>
  <c r="Q16" i="4"/>
  <c r="S16" i="3"/>
  <c r="S16" i="4"/>
  <c r="Q17" i="3"/>
  <c r="Q17" i="4"/>
  <c r="S17" i="3"/>
  <c r="S17" i="4"/>
  <c r="Q18" i="3"/>
  <c r="Q18" i="4"/>
  <c r="S18" i="3"/>
  <c r="S18" i="4"/>
  <c r="Q19" i="3"/>
  <c r="Q19" i="4"/>
  <c r="S19" i="3"/>
  <c r="S19" i="4"/>
  <c r="Q20" i="3"/>
  <c r="Q20" i="4"/>
  <c r="S20" i="3"/>
  <c r="S20" i="4"/>
  <c r="Q21" i="3"/>
  <c r="Q21" i="4"/>
  <c r="S21" i="3"/>
  <c r="S21" i="4"/>
  <c r="Q22" i="3"/>
  <c r="Q22" i="4"/>
  <c r="S22" i="3"/>
  <c r="S22" i="4"/>
  <c r="Q23" i="3"/>
  <c r="Q23" i="4"/>
  <c r="S23" i="3"/>
  <c r="S23" i="4"/>
  <c r="Q24" i="3"/>
  <c r="Q24" i="4"/>
  <c r="S24" i="3"/>
  <c r="S24" i="4"/>
  <c r="Q25" i="3"/>
  <c r="Q25" i="4"/>
  <c r="S25" i="3"/>
  <c r="S25" i="4"/>
  <c r="Q26" i="3"/>
  <c r="Q26" i="4"/>
  <c r="S26" i="3"/>
  <c r="S26" i="4"/>
  <c r="Q27" i="3"/>
  <c r="Q27" i="4"/>
  <c r="S27" i="3"/>
  <c r="S27" i="4"/>
  <c r="Q28" i="3"/>
  <c r="Q28" i="4"/>
  <c r="S28" i="3"/>
  <c r="S28" i="4"/>
  <c r="Q29" i="3"/>
  <c r="Q29" i="4"/>
  <c r="S29" i="3"/>
  <c r="S29" i="4"/>
  <c r="Q30" i="3"/>
  <c r="Q30" i="4"/>
  <c r="S30" i="3"/>
  <c r="S30" i="4"/>
  <c r="Q31" i="3"/>
  <c r="Q31" i="4"/>
  <c r="S31" i="3"/>
  <c r="S31" i="4"/>
  <c r="Q32" i="3"/>
  <c r="Q32" i="4"/>
  <c r="S32" i="3"/>
  <c r="S32" i="4"/>
  <c r="Q33" i="3"/>
  <c r="Q33" i="4"/>
  <c r="S33" i="3"/>
  <c r="S33" i="4"/>
  <c r="Q34" i="3"/>
  <c r="Q34" i="4"/>
  <c r="S34" i="3"/>
  <c r="S34" i="4"/>
  <c r="Q35" i="3"/>
  <c r="Q35" i="4"/>
  <c r="S35" i="3"/>
  <c r="S35" i="4"/>
  <c r="Q36" i="3"/>
  <c r="Q36" i="4"/>
  <c r="S36" i="3"/>
  <c r="S36" i="4"/>
  <c r="Q37" i="3"/>
  <c r="Q37" i="4"/>
  <c r="S37" i="3"/>
  <c r="S37" i="4"/>
  <c r="Q38" i="3"/>
  <c r="Q38" i="4"/>
  <c r="S38" i="3"/>
  <c r="S38" i="4"/>
  <c r="Q39" i="3"/>
  <c r="Q39" i="4"/>
  <c r="S39" i="3"/>
  <c r="S39" i="4"/>
  <c r="Q40" i="3"/>
  <c r="Q40" i="4"/>
  <c r="S40" i="3"/>
  <c r="S40" i="4"/>
  <c r="Q41" i="3"/>
  <c r="Q41" i="4"/>
  <c r="S41" i="3"/>
  <c r="S41" i="4"/>
  <c r="Q42" i="3"/>
  <c r="Q42" i="4"/>
  <c r="S42" i="3"/>
  <c r="S42" i="4"/>
  <c r="Q43" i="3"/>
  <c r="Q43" i="4"/>
  <c r="S43" i="3"/>
  <c r="S43" i="4"/>
  <c r="Q44" i="3"/>
  <c r="Q44" i="4"/>
  <c r="S44" i="3"/>
  <c r="S44" i="4"/>
  <c r="Q45" i="3"/>
  <c r="Q45" i="4"/>
  <c r="S45" i="3"/>
  <c r="S45" i="4"/>
  <c r="Q46" i="3"/>
  <c r="Q46" i="4"/>
  <c r="S46" i="3"/>
  <c r="S46" i="4"/>
  <c r="Q47" i="3"/>
  <c r="Q47" i="4"/>
  <c r="S47" i="3"/>
  <c r="S47" i="4"/>
  <c r="Q48" i="3"/>
  <c r="Q48" i="4"/>
  <c r="S48" i="3"/>
  <c r="S48" i="4"/>
  <c r="Q49" i="3"/>
  <c r="Q49" i="4"/>
  <c r="S49" i="3"/>
  <c r="S49" i="4"/>
  <c r="Q50" i="3"/>
  <c r="Q50" i="4"/>
  <c r="S50" i="3"/>
  <c r="S50" i="4"/>
  <c r="Q51" i="3"/>
  <c r="Q51" i="4"/>
  <c r="S51" i="3"/>
  <c r="S51" i="4"/>
  <c r="Q52" i="3"/>
  <c r="Q52" i="4"/>
  <c r="S52" i="3"/>
  <c r="S52" i="4"/>
  <c r="Q53" i="3"/>
  <c r="Q53" i="4"/>
  <c r="S53" i="3"/>
  <c r="S53" i="4"/>
  <c r="Q54" i="3"/>
  <c r="Q54" i="4"/>
  <c r="S54" i="3"/>
  <c r="S54" i="4"/>
  <c r="Q55" i="3"/>
  <c r="Q55" i="4"/>
  <c r="S55" i="3"/>
  <c r="S55" i="4"/>
  <c r="Q56" i="3"/>
  <c r="Q56" i="4"/>
  <c r="S56" i="3"/>
  <c r="S56" i="4"/>
  <c r="Q57" i="3"/>
  <c r="Q57" i="4"/>
  <c r="S57" i="3"/>
  <c r="S57" i="4"/>
  <c r="Q58" i="3"/>
  <c r="Q58" i="4"/>
  <c r="S58" i="3"/>
  <c r="S58" i="4"/>
  <c r="Q59" i="3"/>
  <c r="Q59" i="4"/>
  <c r="S59" i="3"/>
  <c r="S59" i="4"/>
  <c r="Q60" i="3"/>
  <c r="Q60" i="4"/>
  <c r="S60" i="3"/>
  <c r="S60" i="4"/>
  <c r="Q61" i="3"/>
  <c r="Q61" i="4"/>
  <c r="S61" i="3"/>
  <c r="S61" i="4"/>
  <c r="Q62" i="3"/>
  <c r="Q62" i="4"/>
  <c r="S62" i="3"/>
  <c r="S62" i="4"/>
  <c r="Q63" i="3"/>
  <c r="Q63" i="4"/>
  <c r="S63" i="3"/>
  <c r="S63" i="4"/>
  <c r="Q64" i="3"/>
  <c r="Q64" i="4"/>
  <c r="S64" i="3"/>
  <c r="S64" i="4"/>
  <c r="Q65" i="3"/>
  <c r="Q65" i="4"/>
  <c r="S65" i="3"/>
  <c r="S65" i="4"/>
  <c r="Q66" i="3"/>
  <c r="Q66" i="4"/>
  <c r="S66" i="3"/>
  <c r="S66" i="4"/>
  <c r="Q67" i="3"/>
  <c r="Q67" i="4"/>
  <c r="S67" i="3"/>
  <c r="S67" i="4"/>
  <c r="Q68" i="3"/>
  <c r="Q68" i="4"/>
  <c r="S68" i="3"/>
  <c r="S68" i="4"/>
  <c r="Q69" i="3"/>
  <c r="Q69" i="4"/>
  <c r="S69" i="3"/>
  <c r="S69" i="4"/>
  <c r="Q70" i="3"/>
  <c r="Q70" i="4"/>
  <c r="S70" i="3"/>
  <c r="S70" i="4"/>
  <c r="Q71" i="3"/>
  <c r="Q71" i="4"/>
  <c r="S71" i="3"/>
  <c r="S71" i="4"/>
  <c r="Q72" i="3"/>
  <c r="Q72" i="4"/>
  <c r="S72" i="3"/>
  <c r="S72" i="4"/>
  <c r="Q73" i="3"/>
  <c r="Q73" i="4"/>
  <c r="S73" i="3"/>
  <c r="S73" i="4"/>
  <c r="Q74" i="3"/>
  <c r="Q74" i="4"/>
  <c r="S74" i="3"/>
  <c r="S74" i="4"/>
  <c r="Q75" i="3"/>
  <c r="Q75" i="4"/>
  <c r="S75" i="3"/>
  <c r="S75" i="4"/>
  <c r="Q76" i="3"/>
  <c r="Q76" i="4"/>
  <c r="S76" i="3"/>
  <c r="S76" i="4"/>
  <c r="Q77" i="3"/>
  <c r="Q77" i="4"/>
  <c r="S77" i="3"/>
  <c r="S77" i="4"/>
  <c r="Q78" i="3"/>
  <c r="Q78" i="4"/>
  <c r="S78" i="3"/>
  <c r="S78" i="4"/>
  <c r="Q79" i="3"/>
  <c r="Q79" i="4"/>
  <c r="S79" i="3"/>
  <c r="S79" i="4"/>
  <c r="Q80" i="3"/>
  <c r="Q80" i="4"/>
  <c r="S80" i="3"/>
  <c r="S80" i="4"/>
  <c r="Q81" i="3"/>
  <c r="Q81" i="4"/>
  <c r="S81" i="3"/>
  <c r="S81" i="4"/>
  <c r="Q82" i="3"/>
  <c r="Q82" i="4"/>
  <c r="S82" i="3"/>
  <c r="S82" i="4"/>
  <c r="Q83" i="3"/>
  <c r="Q83" i="4"/>
  <c r="S83" i="3"/>
  <c r="S83" i="4"/>
  <c r="Q84" i="3"/>
  <c r="Q84" i="4"/>
  <c r="S84" i="3"/>
  <c r="S84" i="4"/>
  <c r="Q85" i="3"/>
  <c r="Q85" i="4"/>
  <c r="S85" i="3"/>
  <c r="S85" i="4"/>
  <c r="Q86" i="3"/>
  <c r="Q86" i="4"/>
  <c r="S86" i="3"/>
  <c r="S86" i="4"/>
  <c r="Q87" i="3"/>
  <c r="Q87" i="4"/>
  <c r="S87" i="3"/>
  <c r="S87" i="4"/>
  <c r="Q88" i="3"/>
  <c r="Q88" i="4"/>
  <c r="S88" i="3"/>
  <c r="S88" i="4"/>
  <c r="Q89" i="3"/>
  <c r="Q89" i="4"/>
  <c r="S89" i="3"/>
  <c r="S89" i="4"/>
  <c r="Q90" i="3"/>
  <c r="Q90" i="4"/>
  <c r="S90" i="3"/>
  <c r="S90" i="4"/>
  <c r="Q91" i="3"/>
  <c r="Q91" i="4"/>
  <c r="S91" i="3"/>
  <c r="S91" i="4"/>
  <c r="Q92" i="3"/>
  <c r="Q92" i="4"/>
  <c r="S92" i="3"/>
  <c r="S92" i="4"/>
  <c r="Q93" i="3"/>
  <c r="Q93" i="4"/>
  <c r="S93" i="3"/>
  <c r="S93" i="4"/>
  <c r="Q94" i="3"/>
  <c r="Q94" i="4"/>
  <c r="S94" i="3"/>
  <c r="S94" i="4"/>
  <c r="Q95" i="3"/>
  <c r="Q95" i="4"/>
  <c r="S95" i="3"/>
  <c r="S95" i="4"/>
  <c r="Q96" i="3"/>
  <c r="Q96" i="4"/>
  <c r="S96" i="3"/>
  <c r="S96" i="4"/>
  <c r="Q97" i="3"/>
  <c r="Q97" i="4"/>
  <c r="S97" i="3"/>
  <c r="S97" i="4"/>
  <c r="Q98" i="3"/>
  <c r="Q98" i="4"/>
  <c r="S98" i="3"/>
  <c r="S98" i="4"/>
  <c r="Q99" i="3"/>
  <c r="Q99" i="4"/>
  <c r="S99" i="3"/>
  <c r="S99" i="4"/>
  <c r="Q100" i="3"/>
  <c r="Q100" i="4"/>
  <c r="S100" i="3"/>
  <c r="S100" i="4"/>
  <c r="Q101" i="3"/>
  <c r="Q101" i="4"/>
  <c r="S101" i="3"/>
  <c r="S101" i="4"/>
  <c r="Q102" i="3"/>
  <c r="Q102" i="4"/>
  <c r="S102" i="3"/>
  <c r="S102" i="4"/>
  <c r="Q103" i="3"/>
  <c r="Q103" i="4"/>
  <c r="S103" i="3"/>
  <c r="S103" i="4"/>
  <c r="Q104" i="3"/>
  <c r="Q104" i="4"/>
  <c r="S104" i="3"/>
  <c r="S104" i="4"/>
  <c r="Q105" i="3"/>
  <c r="Q105" i="4"/>
  <c r="S105" i="3"/>
  <c r="S105" i="4"/>
  <c r="Q106" i="3"/>
  <c r="Q106" i="4"/>
  <c r="S106" i="3"/>
  <c r="S106" i="4"/>
  <c r="Q107" i="3"/>
  <c r="Q107" i="4"/>
  <c r="S107" i="3"/>
  <c r="S107" i="4"/>
  <c r="Q108" i="3"/>
  <c r="Q108" i="4"/>
  <c r="S108" i="3"/>
  <c r="S108" i="4"/>
  <c r="Q109" i="3"/>
  <c r="Q109" i="4"/>
  <c r="S109" i="3"/>
  <c r="S109" i="4"/>
  <c r="Q110" i="3"/>
  <c r="Q110" i="4"/>
  <c r="S110" i="3"/>
  <c r="S110" i="4"/>
  <c r="Q111" i="3"/>
  <c r="Q111" i="4"/>
  <c r="S111" i="3"/>
  <c r="S111" i="4"/>
  <c r="Q112" i="3"/>
  <c r="Q112" i="4"/>
  <c r="S112" i="3"/>
  <c r="S112" i="4"/>
  <c r="Q113" i="3"/>
  <c r="Q113" i="4"/>
  <c r="S113" i="3"/>
  <c r="S113" i="4"/>
  <c r="Q114" i="3"/>
  <c r="Q114" i="4"/>
  <c r="S114" i="3"/>
  <c r="S114" i="4"/>
  <c r="Q115" i="3"/>
  <c r="Q115" i="4"/>
  <c r="S115" i="3"/>
  <c r="S115" i="4"/>
  <c r="Q116" i="3"/>
  <c r="Q116" i="4"/>
  <c r="S116" i="3"/>
  <c r="S116" i="4"/>
  <c r="Q117" i="3"/>
  <c r="Q117" i="4"/>
  <c r="S117" i="3"/>
  <c r="S117" i="4"/>
  <c r="Q118" i="3"/>
  <c r="Q118" i="4"/>
  <c r="S118" i="3"/>
  <c r="S118" i="4"/>
  <c r="Q119" i="3"/>
  <c r="Q119" i="4"/>
  <c r="S119" i="3"/>
  <c r="S119" i="4"/>
  <c r="Q120" i="3"/>
  <c r="Q120" i="4"/>
  <c r="S120" i="3"/>
  <c r="S120" i="4"/>
  <c r="Q121" i="3"/>
  <c r="Q121" i="4"/>
  <c r="S121" i="3"/>
  <c r="S121" i="4"/>
  <c r="Q122" i="3"/>
  <c r="Q122" i="4"/>
  <c r="S122" i="3"/>
  <c r="S122" i="4"/>
  <c r="Q2" i="3"/>
  <c r="Q2" i="4"/>
  <c r="S2" i="3"/>
  <c r="S2" i="4"/>
  <c r="T2" i="3"/>
  <c r="T2" i="4"/>
  <c r="T3" i="3"/>
  <c r="T3" i="4"/>
  <c r="T4" i="3"/>
  <c r="T4" i="4"/>
  <c r="T5" i="3"/>
  <c r="T5" i="4"/>
  <c r="T6" i="3"/>
  <c r="T6" i="4"/>
  <c r="T7" i="3"/>
  <c r="T7" i="4"/>
  <c r="T8" i="3"/>
  <c r="T8" i="4"/>
  <c r="T9" i="3"/>
  <c r="T9" i="4"/>
  <c r="T10" i="3"/>
  <c r="T10" i="4"/>
  <c r="T11" i="3"/>
  <c r="T11" i="4"/>
  <c r="T12" i="3"/>
  <c r="T12" i="4"/>
  <c r="T13" i="3"/>
  <c r="T13" i="4"/>
  <c r="T14" i="3"/>
  <c r="T14" i="4"/>
  <c r="T15" i="3"/>
  <c r="T15" i="4"/>
  <c r="T16" i="3"/>
  <c r="T16" i="4"/>
  <c r="T17" i="3"/>
  <c r="T17" i="4"/>
  <c r="T18" i="3"/>
  <c r="T18" i="4"/>
  <c r="T19" i="3"/>
  <c r="T19" i="4"/>
  <c r="T20" i="3"/>
  <c r="T20" i="4"/>
  <c r="T21" i="3"/>
  <c r="T21" i="4"/>
  <c r="T22" i="3"/>
  <c r="T22" i="4"/>
  <c r="T23" i="3"/>
  <c r="T23" i="4"/>
  <c r="T24" i="3"/>
  <c r="T24" i="4"/>
  <c r="T25" i="3"/>
  <c r="T25" i="4"/>
  <c r="T26" i="3"/>
  <c r="T26" i="4"/>
  <c r="T27" i="3"/>
  <c r="T27" i="4"/>
  <c r="T28" i="3"/>
  <c r="T28" i="4"/>
  <c r="T29" i="3"/>
  <c r="T29" i="4"/>
  <c r="T30" i="3"/>
  <c r="T30" i="4"/>
  <c r="T31" i="3"/>
  <c r="T31" i="4"/>
  <c r="T32" i="3"/>
  <c r="T32" i="4"/>
  <c r="T33" i="3"/>
  <c r="T33" i="4"/>
  <c r="T34" i="3"/>
  <c r="T34" i="4"/>
  <c r="T35" i="3"/>
  <c r="T35" i="4"/>
  <c r="T36" i="3"/>
  <c r="T36" i="4"/>
  <c r="T37" i="3"/>
  <c r="T37" i="4"/>
  <c r="T38" i="3"/>
  <c r="T38" i="4"/>
  <c r="T39" i="3"/>
  <c r="T39" i="4"/>
  <c r="T40" i="3"/>
  <c r="T40" i="4"/>
  <c r="T41" i="3"/>
  <c r="T41" i="4"/>
  <c r="T42" i="3"/>
  <c r="T42" i="4"/>
  <c r="T43" i="3"/>
  <c r="T43" i="4"/>
  <c r="T44" i="3"/>
  <c r="T44" i="4"/>
  <c r="T45" i="3"/>
  <c r="T45" i="4"/>
  <c r="T46" i="3"/>
  <c r="T46" i="4"/>
  <c r="T47" i="3"/>
  <c r="T47" i="4"/>
  <c r="T48" i="3"/>
  <c r="T48" i="4"/>
  <c r="T49" i="3"/>
  <c r="T49" i="4"/>
  <c r="T50" i="3"/>
  <c r="T50" i="4"/>
  <c r="T51" i="3"/>
  <c r="T51" i="4"/>
  <c r="T52" i="3"/>
  <c r="T52" i="4"/>
  <c r="T53" i="3"/>
  <c r="T53" i="4"/>
  <c r="T54" i="3"/>
  <c r="T54" i="4"/>
  <c r="T55" i="3"/>
  <c r="T55" i="4"/>
  <c r="T56" i="3"/>
  <c r="T56" i="4"/>
  <c r="T57" i="3"/>
  <c r="T57" i="4"/>
  <c r="T58" i="3"/>
  <c r="T58" i="4"/>
  <c r="T59" i="3"/>
  <c r="T59" i="4"/>
  <c r="T60" i="3"/>
  <c r="T60" i="4"/>
  <c r="T61" i="3"/>
  <c r="T61" i="4"/>
  <c r="T62" i="3"/>
  <c r="T62" i="4"/>
  <c r="T63" i="3"/>
  <c r="T63" i="4"/>
  <c r="T64" i="3"/>
  <c r="T64" i="4"/>
  <c r="T65" i="3"/>
  <c r="T65" i="4"/>
  <c r="T66" i="3"/>
  <c r="T66" i="4"/>
  <c r="T67" i="3"/>
  <c r="T67" i="4"/>
  <c r="T68" i="3"/>
  <c r="T68" i="4"/>
  <c r="T69" i="3"/>
  <c r="T69" i="4"/>
  <c r="T70" i="4"/>
  <c r="T71" i="4"/>
  <c r="T72" i="4"/>
  <c r="T73" i="4"/>
  <c r="T74" i="4"/>
  <c r="T75" i="4"/>
  <c r="T76" i="4"/>
  <c r="T77" i="4"/>
  <c r="T78" i="4"/>
  <c r="T79" i="4"/>
  <c r="T80" i="4"/>
  <c r="T81" i="4"/>
  <c r="T82" i="4"/>
  <c r="T83" i="4"/>
  <c r="T84" i="4"/>
  <c r="T85" i="4"/>
  <c r="T86" i="4"/>
  <c r="T87" i="4"/>
  <c r="T88" i="4"/>
  <c r="T89" i="4"/>
  <c r="T90" i="4"/>
  <c r="T91" i="4"/>
  <c r="T92" i="4"/>
  <c r="T93" i="4"/>
  <c r="T94" i="4"/>
  <c r="T95" i="4"/>
  <c r="T96" i="4"/>
  <c r="T97" i="4"/>
  <c r="T98" i="4"/>
  <c r="T99" i="4"/>
  <c r="T100" i="4"/>
  <c r="T101" i="4"/>
  <c r="T102" i="4"/>
  <c r="T103" i="4"/>
  <c r="T104" i="4"/>
  <c r="T105" i="4"/>
  <c r="T106" i="4"/>
  <c r="T107" i="4"/>
  <c r="T108" i="4"/>
  <c r="T109" i="4"/>
  <c r="T110" i="4"/>
  <c r="T111" i="4"/>
  <c r="T112" i="4"/>
  <c r="T113" i="4"/>
  <c r="T114" i="4"/>
  <c r="T115" i="4"/>
  <c r="T116" i="4"/>
  <c r="T117" i="4"/>
  <c r="T118" i="4"/>
  <c r="T119" i="4"/>
  <c r="T120" i="4"/>
  <c r="T121" i="4"/>
  <c r="T122" i="4"/>
  <c r="T122" i="3"/>
  <c r="T121" i="3"/>
  <c r="T120" i="3"/>
  <c r="T119" i="3"/>
  <c r="T118" i="3"/>
  <c r="T117" i="3"/>
  <c r="T116" i="3"/>
  <c r="T115" i="3"/>
  <c r="T114" i="3"/>
  <c r="T113" i="3"/>
  <c r="T112" i="3"/>
  <c r="T111" i="3"/>
  <c r="T110" i="3"/>
  <c r="T109" i="3"/>
  <c r="T108" i="3"/>
  <c r="T107" i="3"/>
  <c r="T106" i="3"/>
  <c r="T105" i="3"/>
  <c r="T104" i="3"/>
  <c r="T103" i="3"/>
  <c r="T102" i="3"/>
  <c r="T101" i="3"/>
  <c r="T100" i="3"/>
  <c r="T99" i="3"/>
  <c r="T98" i="3"/>
  <c r="T97" i="3"/>
  <c r="T96" i="3"/>
  <c r="T95" i="3"/>
  <c r="T94" i="3"/>
  <c r="T93" i="3"/>
  <c r="T92" i="3"/>
  <c r="T91" i="3"/>
  <c r="T90" i="3"/>
  <c r="T89" i="3"/>
  <c r="T88" i="3"/>
  <c r="T87" i="3"/>
  <c r="T86" i="3"/>
  <c r="T85" i="3"/>
  <c r="T84" i="3"/>
  <c r="T83" i="3"/>
  <c r="T82" i="3"/>
  <c r="T81" i="3"/>
  <c r="T80" i="3"/>
  <c r="T79" i="3"/>
  <c r="T78" i="3"/>
  <c r="T77" i="3"/>
  <c r="T76" i="3"/>
  <c r="T75" i="3"/>
  <c r="T74" i="3"/>
  <c r="T73" i="3"/>
  <c r="T72" i="3"/>
  <c r="T71" i="3"/>
  <c r="T70" i="3"/>
  <c r="O2" i="3"/>
  <c r="O2" i="4"/>
  <c r="R2" i="3"/>
  <c r="R2" i="4"/>
  <c r="AC2" i="4"/>
  <c r="O3" i="3"/>
  <c r="O3" i="4"/>
  <c r="R3" i="3"/>
  <c r="R3" i="4"/>
  <c r="AC3" i="4"/>
  <c r="O4" i="3"/>
  <c r="O4" i="4"/>
  <c r="R4" i="3"/>
  <c r="R4" i="4"/>
  <c r="AC4" i="4"/>
  <c r="O5" i="3"/>
  <c r="O5" i="4"/>
  <c r="R5" i="3"/>
  <c r="R5" i="4"/>
  <c r="AC5" i="4"/>
  <c r="O6" i="3"/>
  <c r="O6" i="4"/>
  <c r="R6" i="3"/>
  <c r="R6" i="4"/>
  <c r="AC6" i="4"/>
  <c r="O7" i="3"/>
  <c r="O7" i="4"/>
  <c r="R7" i="3"/>
  <c r="R7" i="4"/>
  <c r="AC7" i="4"/>
  <c r="O8" i="3"/>
  <c r="O8" i="4"/>
  <c r="R8" i="3"/>
  <c r="R8" i="4"/>
  <c r="AC8" i="4"/>
  <c r="O9" i="3"/>
  <c r="O9" i="4"/>
  <c r="R9" i="3"/>
  <c r="R9" i="4"/>
  <c r="AC9" i="4"/>
  <c r="O10" i="3"/>
  <c r="O10" i="4"/>
  <c r="R10" i="3"/>
  <c r="R10" i="4"/>
  <c r="AC10" i="4"/>
  <c r="O11" i="3"/>
  <c r="O11" i="4"/>
  <c r="R11" i="3"/>
  <c r="R11" i="4"/>
  <c r="AC11" i="4"/>
  <c r="O12" i="3"/>
  <c r="O12" i="4"/>
  <c r="R12" i="3"/>
  <c r="R12" i="4"/>
  <c r="AC12" i="4"/>
  <c r="O13" i="3"/>
  <c r="O13" i="4"/>
  <c r="R13" i="3"/>
  <c r="R13" i="4"/>
  <c r="AC13" i="4"/>
  <c r="O14" i="3"/>
  <c r="O14" i="4"/>
  <c r="R14" i="3"/>
  <c r="R14" i="4"/>
  <c r="AC14" i="4"/>
  <c r="O15" i="3"/>
  <c r="O15" i="4"/>
  <c r="R15" i="3"/>
  <c r="R15" i="4"/>
  <c r="AC15" i="4"/>
  <c r="O16" i="3"/>
  <c r="O16" i="4"/>
  <c r="R16" i="3"/>
  <c r="R16" i="4"/>
  <c r="AC16" i="4"/>
  <c r="O17" i="3"/>
  <c r="O17" i="4"/>
  <c r="R17" i="3"/>
  <c r="R17" i="4"/>
  <c r="AC17" i="4"/>
  <c r="O18" i="3"/>
  <c r="O18" i="4"/>
  <c r="R18" i="3"/>
  <c r="R18" i="4"/>
  <c r="AC18" i="4"/>
  <c r="O19" i="3"/>
  <c r="O19" i="4"/>
  <c r="R19" i="3"/>
  <c r="R19" i="4"/>
  <c r="AC19" i="4"/>
  <c r="O20" i="3"/>
  <c r="O20" i="4"/>
  <c r="R20" i="3"/>
  <c r="R20" i="4"/>
  <c r="AC20" i="4"/>
  <c r="O21" i="3"/>
  <c r="O21" i="4"/>
  <c r="R21" i="3"/>
  <c r="R21" i="4"/>
  <c r="AC21" i="4"/>
  <c r="O22" i="3"/>
  <c r="O22" i="4"/>
  <c r="R22" i="3"/>
  <c r="R22" i="4"/>
  <c r="AC22" i="4"/>
  <c r="O23" i="3"/>
  <c r="O23" i="4"/>
  <c r="R23" i="3"/>
  <c r="R23" i="4"/>
  <c r="AC23" i="4"/>
  <c r="O24" i="3"/>
  <c r="O24" i="4"/>
  <c r="R24" i="3"/>
  <c r="R24" i="4"/>
  <c r="AC24" i="4"/>
  <c r="O25" i="3"/>
  <c r="O25" i="4"/>
  <c r="R25" i="3"/>
  <c r="R25" i="4"/>
  <c r="AC25" i="4"/>
  <c r="O26" i="3"/>
  <c r="O26" i="4"/>
  <c r="R26" i="3"/>
  <c r="R26" i="4"/>
  <c r="AC26" i="4"/>
  <c r="O27" i="3"/>
  <c r="O27" i="4"/>
  <c r="R27" i="3"/>
  <c r="R27" i="4"/>
  <c r="AC27" i="4"/>
  <c r="O28" i="3"/>
  <c r="O28" i="4"/>
  <c r="R28" i="3"/>
  <c r="R28" i="4"/>
  <c r="AC28" i="4"/>
  <c r="O29" i="3"/>
  <c r="O29" i="4"/>
  <c r="R29" i="3"/>
  <c r="R29" i="4"/>
  <c r="AC29" i="4"/>
  <c r="O30" i="3"/>
  <c r="O30" i="4"/>
  <c r="R30" i="3"/>
  <c r="R30" i="4"/>
  <c r="AC30" i="4"/>
  <c r="O31" i="3"/>
  <c r="O31" i="4"/>
  <c r="R31" i="3"/>
  <c r="R31" i="4"/>
  <c r="AC31" i="4"/>
  <c r="O32" i="3"/>
  <c r="O32" i="4"/>
  <c r="R32" i="3"/>
  <c r="R32" i="4"/>
  <c r="AC32" i="4"/>
  <c r="O33" i="3"/>
  <c r="O33" i="4"/>
  <c r="R33" i="3"/>
  <c r="R33" i="4"/>
  <c r="AC33" i="4"/>
  <c r="O34" i="3"/>
  <c r="O34" i="4"/>
  <c r="R34" i="3"/>
  <c r="R34" i="4"/>
  <c r="AC34" i="4"/>
  <c r="O35" i="3"/>
  <c r="O35" i="4"/>
  <c r="R35" i="3"/>
  <c r="R35" i="4"/>
  <c r="AC35" i="4"/>
  <c r="O36" i="3"/>
  <c r="O36" i="4"/>
  <c r="R36" i="3"/>
  <c r="R36" i="4"/>
  <c r="AC36" i="4"/>
  <c r="O37" i="3"/>
  <c r="O37" i="4"/>
  <c r="R37" i="3"/>
  <c r="R37" i="4"/>
  <c r="AC37" i="4"/>
  <c r="O38" i="3"/>
  <c r="O38" i="4"/>
  <c r="R38" i="3"/>
  <c r="R38" i="4"/>
  <c r="AC38" i="4"/>
  <c r="O39" i="3"/>
  <c r="O39" i="4"/>
  <c r="R39" i="3"/>
  <c r="R39" i="4"/>
  <c r="AC39" i="4"/>
  <c r="O40" i="3"/>
  <c r="O40" i="4"/>
  <c r="R40" i="3"/>
  <c r="R40" i="4"/>
  <c r="AC40" i="4"/>
  <c r="O41" i="3"/>
  <c r="O41" i="4"/>
  <c r="R41" i="3"/>
  <c r="R41" i="4"/>
  <c r="AC41" i="4"/>
  <c r="O42" i="3"/>
  <c r="O42" i="4"/>
  <c r="R42" i="3"/>
  <c r="R42" i="4"/>
  <c r="AC42" i="4"/>
  <c r="O43" i="3"/>
  <c r="O43" i="4"/>
  <c r="R43" i="3"/>
  <c r="R43" i="4"/>
  <c r="AC43" i="4"/>
  <c r="O44" i="3"/>
  <c r="O44" i="4"/>
  <c r="R44" i="3"/>
  <c r="R44" i="4"/>
  <c r="AC44" i="4"/>
  <c r="O45" i="3"/>
  <c r="O45" i="4"/>
  <c r="R45" i="3"/>
  <c r="R45" i="4"/>
  <c r="AC45" i="4"/>
  <c r="O46" i="3"/>
  <c r="O46" i="4"/>
  <c r="R46" i="3"/>
  <c r="R46" i="4"/>
  <c r="AC46" i="4"/>
  <c r="O47" i="3"/>
  <c r="O47" i="4"/>
  <c r="R47" i="3"/>
  <c r="R47" i="4"/>
  <c r="AC47" i="4"/>
  <c r="O48" i="3"/>
  <c r="O48" i="4"/>
  <c r="R48" i="3"/>
  <c r="R48" i="4"/>
  <c r="AC48" i="4"/>
  <c r="O49" i="3"/>
  <c r="O49" i="4"/>
  <c r="R49" i="3"/>
  <c r="R49" i="4"/>
  <c r="AC49" i="4"/>
  <c r="O50" i="3"/>
  <c r="O50" i="4"/>
  <c r="R50" i="3"/>
  <c r="R50" i="4"/>
  <c r="AC50" i="4"/>
  <c r="O51" i="3"/>
  <c r="O51" i="4"/>
  <c r="R51" i="3"/>
  <c r="R51" i="4"/>
  <c r="AC51" i="4"/>
  <c r="O52" i="3"/>
  <c r="O52" i="4"/>
  <c r="R52" i="3"/>
  <c r="R52" i="4"/>
  <c r="AC52" i="4"/>
  <c r="O53" i="3"/>
  <c r="O53" i="4"/>
  <c r="R53" i="3"/>
  <c r="R53" i="4"/>
  <c r="AC53" i="4"/>
  <c r="O54" i="3"/>
  <c r="O54" i="4"/>
  <c r="R54" i="3"/>
  <c r="R54" i="4"/>
  <c r="AC54" i="4"/>
  <c r="O55" i="3"/>
  <c r="O55" i="4"/>
  <c r="R55" i="3"/>
  <c r="R55" i="4"/>
  <c r="AC55" i="4"/>
  <c r="O56" i="3"/>
  <c r="O56" i="4"/>
  <c r="R56" i="3"/>
  <c r="R56" i="4"/>
  <c r="AC56" i="4"/>
  <c r="O57" i="3"/>
  <c r="O57" i="4"/>
  <c r="R57" i="3"/>
  <c r="R57" i="4"/>
  <c r="AC57" i="4"/>
  <c r="O58" i="3"/>
  <c r="O58" i="4"/>
  <c r="R58" i="3"/>
  <c r="R58" i="4"/>
  <c r="AC58" i="4"/>
  <c r="O59" i="3"/>
  <c r="O59" i="4"/>
  <c r="R59" i="3"/>
  <c r="R59" i="4"/>
  <c r="AC59" i="4"/>
  <c r="O60" i="3"/>
  <c r="O60" i="4"/>
  <c r="R60" i="3"/>
  <c r="R60" i="4"/>
  <c r="AC60" i="4"/>
  <c r="O61" i="3"/>
  <c r="O61" i="4"/>
  <c r="R61" i="3"/>
  <c r="R61" i="4"/>
  <c r="AC61" i="4"/>
  <c r="O62" i="3"/>
  <c r="O62" i="4"/>
  <c r="R62" i="3"/>
  <c r="R62" i="4"/>
  <c r="AC62" i="4"/>
  <c r="O63" i="3"/>
  <c r="O63" i="4"/>
  <c r="R63" i="3"/>
  <c r="R63" i="4"/>
  <c r="AC63" i="4"/>
  <c r="O64" i="3"/>
  <c r="O64" i="4"/>
  <c r="R64" i="3"/>
  <c r="R64" i="4"/>
  <c r="AC64" i="4"/>
  <c r="O65" i="3"/>
  <c r="O65" i="4"/>
  <c r="R65" i="3"/>
  <c r="R65" i="4"/>
  <c r="AC65" i="4"/>
  <c r="O66" i="3"/>
  <c r="O66" i="4"/>
  <c r="R66" i="3"/>
  <c r="R66" i="4"/>
  <c r="AC66" i="4"/>
  <c r="O67" i="3"/>
  <c r="O67" i="4"/>
  <c r="R67" i="3"/>
  <c r="R67" i="4"/>
  <c r="AC67" i="4"/>
  <c r="O68" i="3"/>
  <c r="O68" i="4"/>
  <c r="R68" i="3"/>
  <c r="R68" i="4"/>
  <c r="AC68" i="4"/>
  <c r="O69" i="3"/>
  <c r="O69" i="4"/>
  <c r="R69" i="3"/>
  <c r="R69" i="4"/>
  <c r="AC69" i="4"/>
  <c r="O70" i="3"/>
  <c r="O70" i="4"/>
  <c r="R70" i="3"/>
  <c r="R70" i="4"/>
  <c r="AC70" i="4"/>
  <c r="O71" i="3"/>
  <c r="O71" i="4"/>
  <c r="R71" i="3"/>
  <c r="R71" i="4"/>
  <c r="AC71" i="4"/>
  <c r="O72" i="3"/>
  <c r="O72" i="4"/>
  <c r="R72" i="3"/>
  <c r="R72" i="4"/>
  <c r="AC72" i="4"/>
  <c r="O73" i="3"/>
  <c r="O73" i="4"/>
  <c r="R73" i="3"/>
  <c r="R73" i="4"/>
  <c r="AC73" i="4"/>
  <c r="O74" i="3"/>
  <c r="O74" i="4"/>
  <c r="R74" i="3"/>
  <c r="R74" i="4"/>
  <c r="AC74" i="4"/>
  <c r="O75" i="3"/>
  <c r="O75" i="4"/>
  <c r="R75" i="3"/>
  <c r="R75" i="4"/>
  <c r="AC75" i="4"/>
  <c r="O76" i="3"/>
  <c r="O76" i="4"/>
  <c r="R76" i="3"/>
  <c r="R76" i="4"/>
  <c r="AC76" i="4"/>
  <c r="O77" i="3"/>
  <c r="O77" i="4"/>
  <c r="R77" i="3"/>
  <c r="R77" i="4"/>
  <c r="AC77" i="4"/>
  <c r="O78" i="3"/>
  <c r="O78" i="4"/>
  <c r="R78" i="3"/>
  <c r="R78" i="4"/>
  <c r="AC78" i="4"/>
  <c r="O79" i="3"/>
  <c r="O79" i="4"/>
  <c r="R79" i="3"/>
  <c r="R79" i="4"/>
  <c r="AC79" i="4"/>
  <c r="O80" i="3"/>
  <c r="O80" i="4"/>
  <c r="R80" i="3"/>
  <c r="R80" i="4"/>
  <c r="AC80" i="4"/>
  <c r="O81" i="3"/>
  <c r="O81" i="4"/>
  <c r="R81" i="3"/>
  <c r="R81" i="4"/>
  <c r="AC81" i="4"/>
  <c r="O82" i="3"/>
  <c r="O82" i="4"/>
  <c r="R82" i="3"/>
  <c r="R82" i="4"/>
  <c r="AC82" i="4"/>
  <c r="O83" i="3"/>
  <c r="O83" i="4"/>
  <c r="R83" i="3"/>
  <c r="R83" i="4"/>
  <c r="AC83" i="4"/>
  <c r="O84" i="3"/>
  <c r="O84" i="4"/>
  <c r="R84" i="3"/>
  <c r="R84" i="4"/>
  <c r="AC84" i="4"/>
  <c r="O85" i="3"/>
  <c r="O85" i="4"/>
  <c r="R85" i="3"/>
  <c r="R85" i="4"/>
  <c r="AC85" i="4"/>
  <c r="O86" i="3"/>
  <c r="O86" i="4"/>
  <c r="R86" i="3"/>
  <c r="R86" i="4"/>
  <c r="AC86" i="4"/>
  <c r="O87" i="3"/>
  <c r="O87" i="4"/>
  <c r="R87" i="3"/>
  <c r="R87" i="4"/>
  <c r="AC87" i="4"/>
  <c r="O88" i="3"/>
  <c r="O88" i="4"/>
  <c r="R88" i="3"/>
  <c r="R88" i="4"/>
  <c r="AC88" i="4"/>
  <c r="O89" i="3"/>
  <c r="O89" i="4"/>
  <c r="R89" i="3"/>
  <c r="R89" i="4"/>
  <c r="AC89" i="4"/>
  <c r="O90" i="3"/>
  <c r="O90" i="4"/>
  <c r="R90" i="3"/>
  <c r="R90" i="4"/>
  <c r="AC90" i="4"/>
  <c r="O91" i="3"/>
  <c r="O91" i="4"/>
  <c r="R91" i="3"/>
  <c r="R91" i="4"/>
  <c r="AC91" i="4"/>
  <c r="O92" i="3"/>
  <c r="O92" i="4"/>
  <c r="R92" i="3"/>
  <c r="R92" i="4"/>
  <c r="AC92" i="4"/>
  <c r="O93" i="3"/>
  <c r="O93" i="4"/>
  <c r="R93" i="3"/>
  <c r="R93" i="4"/>
  <c r="AC93" i="4"/>
  <c r="O94" i="3"/>
  <c r="O94" i="4"/>
  <c r="R94" i="3"/>
  <c r="R94" i="4"/>
  <c r="AC94" i="4"/>
  <c r="O95" i="3"/>
  <c r="O95" i="4"/>
  <c r="R95" i="3"/>
  <c r="R95" i="4"/>
  <c r="AC95" i="4"/>
  <c r="O96" i="3"/>
  <c r="O96" i="4"/>
  <c r="R96" i="3"/>
  <c r="R96" i="4"/>
  <c r="AC96" i="4"/>
  <c r="O97" i="3"/>
  <c r="O97" i="4"/>
  <c r="R97" i="3"/>
  <c r="R97" i="4"/>
  <c r="AC97" i="4"/>
  <c r="O98" i="3"/>
  <c r="O98" i="4"/>
  <c r="R98" i="3"/>
  <c r="R98" i="4"/>
  <c r="AC98" i="4"/>
  <c r="O99" i="3"/>
  <c r="O99" i="4"/>
  <c r="R99" i="3"/>
  <c r="R99" i="4"/>
  <c r="AC99" i="4"/>
  <c r="O100" i="3"/>
  <c r="O100" i="4"/>
  <c r="R100" i="3"/>
  <c r="R100" i="4"/>
  <c r="AC100" i="4"/>
  <c r="O101" i="3"/>
  <c r="O101" i="4"/>
  <c r="R101" i="3"/>
  <c r="R101" i="4"/>
  <c r="AC101" i="4"/>
  <c r="O102" i="3"/>
  <c r="O102" i="4"/>
  <c r="R102" i="3"/>
  <c r="R102" i="4"/>
  <c r="AC102" i="4"/>
  <c r="O103" i="3"/>
  <c r="O103" i="4"/>
  <c r="R103" i="3"/>
  <c r="R103" i="4"/>
  <c r="AC103" i="4"/>
  <c r="O104" i="3"/>
  <c r="O104" i="4"/>
  <c r="R104" i="3"/>
  <c r="R104" i="4"/>
  <c r="AC104" i="4"/>
  <c r="O105" i="3"/>
  <c r="O105" i="4"/>
  <c r="R105" i="3"/>
  <c r="R105" i="4"/>
  <c r="AC105" i="4"/>
  <c r="O106" i="3"/>
  <c r="O106" i="4"/>
  <c r="R106" i="3"/>
  <c r="R106" i="4"/>
  <c r="AC106" i="4"/>
  <c r="O107" i="3"/>
  <c r="O107" i="4"/>
  <c r="R107" i="3"/>
  <c r="R107" i="4"/>
  <c r="AC107" i="4"/>
  <c r="O108" i="3"/>
  <c r="O108" i="4"/>
  <c r="R108" i="3"/>
  <c r="R108" i="4"/>
  <c r="AC108" i="4"/>
  <c r="O109" i="3"/>
  <c r="O109" i="4"/>
  <c r="R109" i="3"/>
  <c r="R109" i="4"/>
  <c r="AC109" i="4"/>
  <c r="O110" i="3"/>
  <c r="O110" i="4"/>
  <c r="R110" i="3"/>
  <c r="R110" i="4"/>
  <c r="AC110" i="4"/>
  <c r="O111" i="3"/>
  <c r="O111" i="4"/>
  <c r="R111" i="3"/>
  <c r="R111" i="4"/>
  <c r="AC111" i="4"/>
  <c r="O112" i="3"/>
  <c r="O112" i="4"/>
  <c r="R112" i="3"/>
  <c r="R112" i="4"/>
  <c r="AC112" i="4"/>
  <c r="O113" i="3"/>
  <c r="O113" i="4"/>
  <c r="R113" i="3"/>
  <c r="R113" i="4"/>
  <c r="AC113" i="4"/>
  <c r="O114" i="3"/>
  <c r="O114" i="4"/>
  <c r="R114" i="3"/>
  <c r="R114" i="4"/>
  <c r="AC114" i="4"/>
  <c r="O115" i="3"/>
  <c r="O115" i="4"/>
  <c r="R115" i="3"/>
  <c r="R115" i="4"/>
  <c r="AC115" i="4"/>
  <c r="O116" i="3"/>
  <c r="O116" i="4"/>
  <c r="R116" i="3"/>
  <c r="R116" i="4"/>
  <c r="AC116" i="4"/>
  <c r="O117" i="3"/>
  <c r="O117" i="4"/>
  <c r="R117" i="3"/>
  <c r="R117" i="4"/>
  <c r="AC117" i="4"/>
  <c r="O118" i="3"/>
  <c r="O118" i="4"/>
  <c r="R118" i="3"/>
  <c r="R118" i="4"/>
  <c r="AC118" i="4"/>
  <c r="O119" i="3"/>
  <c r="O119" i="4"/>
  <c r="R119" i="3"/>
  <c r="R119" i="4"/>
  <c r="AC119" i="4"/>
  <c r="O120" i="3"/>
  <c r="O120" i="4"/>
  <c r="R120" i="3"/>
  <c r="R120" i="4"/>
  <c r="AC120" i="4"/>
  <c r="O121" i="3"/>
  <c r="O121" i="4"/>
  <c r="R121" i="3"/>
  <c r="R121" i="4"/>
  <c r="AC121" i="4"/>
  <c r="O122" i="3"/>
  <c r="O122" i="4"/>
  <c r="R122" i="3"/>
  <c r="R122" i="4"/>
  <c r="AC122" i="4"/>
  <c r="U2" i="3"/>
  <c r="U3" i="3"/>
  <c r="U4" i="3"/>
  <c r="U5" i="3"/>
  <c r="U6" i="3"/>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106" i="3"/>
  <c r="U107" i="3"/>
  <c r="U108" i="3"/>
  <c r="U109" i="3"/>
  <c r="U110" i="3"/>
  <c r="U111" i="3"/>
  <c r="U112" i="3"/>
  <c r="U113" i="3"/>
  <c r="U114" i="3"/>
  <c r="U115" i="3"/>
  <c r="U116" i="3"/>
  <c r="U117" i="3"/>
  <c r="U118" i="3"/>
  <c r="U119" i="3"/>
  <c r="U120" i="3"/>
  <c r="U121" i="3"/>
  <c r="U122" i="3"/>
  <c r="U2"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U12" i="4"/>
  <c r="U11" i="4"/>
  <c r="U10" i="4"/>
  <c r="U9" i="4"/>
  <c r="U8" i="4"/>
  <c r="U7" i="4"/>
  <c r="U6" i="4"/>
  <c r="U5" i="4"/>
  <c r="U4" i="4"/>
  <c r="U3" i="4"/>
  <c r="U4" i="1"/>
  <c r="G123" i="4"/>
  <c r="U3" i="1"/>
  <c r="G124" i="4"/>
  <c r="U29" i="1"/>
  <c r="G125" i="4"/>
  <c r="G128" i="4"/>
  <c r="G129" i="4"/>
  <c r="G130" i="4"/>
  <c r="U15" i="1"/>
  <c r="G133" i="4"/>
  <c r="U18" i="1"/>
  <c r="G143" i="4"/>
  <c r="G145" i="4"/>
  <c r="G146" i="4"/>
  <c r="G147" i="4"/>
  <c r="G150" i="4"/>
  <c r="G160" i="4"/>
  <c r="U28" i="1"/>
  <c r="G163" i="4"/>
  <c r="U26" i="1"/>
  <c r="G169" i="4"/>
  <c r="U27" i="1"/>
  <c r="G170" i="4"/>
  <c r="G171" i="4"/>
  <c r="G172" i="4"/>
  <c r="G173" i="4"/>
  <c r="G176" i="4"/>
  <c r="G186" i="4"/>
  <c r="G189" i="4"/>
  <c r="G195" i="4"/>
  <c r="G196" i="4"/>
  <c r="U30" i="1"/>
  <c r="G197" i="4"/>
  <c r="U33" i="1"/>
  <c r="G198" i="4"/>
  <c r="U43" i="1"/>
  <c r="G208" i="4"/>
  <c r="G210" i="4"/>
  <c r="G211" i="4"/>
  <c r="G212" i="4"/>
  <c r="G215" i="4"/>
  <c r="G224" i="4"/>
  <c r="G232" i="4"/>
  <c r="G233" i="4"/>
  <c r="G234" i="4"/>
  <c r="G244" i="4"/>
  <c r="U46" i="1"/>
  <c r="G247" i="4"/>
  <c r="U47" i="1"/>
  <c r="G248" i="4"/>
  <c r="U55" i="1"/>
  <c r="G256" i="4"/>
  <c r="U58" i="1"/>
  <c r="G257" i="4"/>
  <c r="G263" i="4"/>
  <c r="G264" i="4"/>
  <c r="G267" i="4"/>
  <c r="G279" i="4"/>
  <c r="G280" i="4"/>
  <c r="G281" i="4"/>
  <c r="G291" i="4"/>
  <c r="G294" i="4"/>
  <c r="G295" i="4"/>
  <c r="G303" i="4"/>
  <c r="G304" i="4"/>
  <c r="U59" i="1"/>
  <c r="G310" i="4"/>
  <c r="U99" i="1"/>
  <c r="G325" i="4"/>
  <c r="G327" i="4"/>
  <c r="G328" i="4"/>
  <c r="G331" i="4"/>
  <c r="G339" i="4"/>
  <c r="G340" i="4"/>
  <c r="G341" i="4"/>
  <c r="G347" i="4"/>
  <c r="G350" i="4"/>
  <c r="G351" i="4"/>
  <c r="G359" i="4"/>
  <c r="G360" i="4"/>
  <c r="G366" i="4"/>
  <c r="G388" i="4"/>
  <c r="G389" i="4"/>
  <c r="G390" i="4"/>
  <c r="G392" i="4"/>
  <c r="G401" i="4"/>
  <c r="G409" i="4"/>
  <c r="G410" i="4"/>
  <c r="G411" i="4"/>
  <c r="G421" i="4"/>
  <c r="G424" i="4"/>
  <c r="G425" i="4"/>
  <c r="G433" i="4"/>
  <c r="G434" i="4"/>
  <c r="U82" i="1"/>
  <c r="G460" i="4"/>
  <c r="U86" i="1"/>
  <c r="G463" i="4"/>
  <c r="U88" i="1"/>
  <c r="G465" i="4"/>
  <c r="G466" i="4"/>
  <c r="G467" i="4"/>
  <c r="G468" i="4"/>
  <c r="G469" i="4"/>
  <c r="G477" i="4"/>
  <c r="G478" i="4"/>
  <c r="G479" i="4"/>
  <c r="G480" i="4"/>
  <c r="G481" i="4"/>
  <c r="G484" i="4"/>
  <c r="G485" i="4"/>
  <c r="G511" i="4"/>
  <c r="G515" i="4"/>
  <c r="U87" i="1"/>
  <c r="G517" i="4"/>
  <c r="G518" i="4"/>
  <c r="U94" i="1"/>
  <c r="G524" i="4"/>
  <c r="U95" i="1"/>
  <c r="G525" i="4"/>
  <c r="U98" i="1"/>
  <c r="G528" i="4"/>
  <c r="G529" i="4"/>
  <c r="G530" i="4"/>
  <c r="G531" i="4"/>
  <c r="G532" i="4"/>
  <c r="G533" i="4"/>
  <c r="G539" i="4"/>
  <c r="G540" i="4"/>
  <c r="G541" i="4"/>
  <c r="G542" i="4"/>
  <c r="G543" i="4"/>
  <c r="G546" i="4"/>
  <c r="G567" i="4"/>
  <c r="G571" i="4"/>
  <c r="G573" i="4"/>
  <c r="G574" i="4"/>
  <c r="G580" i="4"/>
  <c r="G581" i="4"/>
  <c r="G584" i="4"/>
  <c r="G585" i="4"/>
  <c r="U104" i="1"/>
  <c r="G589" i="4"/>
  <c r="U105" i="1"/>
  <c r="G590" i="4"/>
  <c r="U109" i="1"/>
  <c r="G594" i="4"/>
  <c r="U112" i="1"/>
  <c r="G596" i="4"/>
  <c r="G597" i="4"/>
  <c r="G598" i="4"/>
  <c r="G603" i="4"/>
  <c r="G604" i="4"/>
  <c r="G605" i="4"/>
  <c r="G606" i="4"/>
  <c r="G609" i="4"/>
  <c r="G626" i="4"/>
  <c r="G630" i="4"/>
  <c r="G631" i="4"/>
  <c r="G632" i="4"/>
  <c r="G638" i="4"/>
  <c r="G639" i="4"/>
  <c r="G642" i="4"/>
  <c r="G643" i="4"/>
  <c r="G648" i="4"/>
  <c r="G649" i="4"/>
  <c r="G653" i="4"/>
  <c r="G656" i="4"/>
  <c r="U116" i="1"/>
  <c r="G660" i="4"/>
  <c r="U117" i="1"/>
  <c r="G661" i="4"/>
  <c r="U119" i="1"/>
  <c r="G663" i="4"/>
  <c r="G664" i="4"/>
  <c r="G665" i="4"/>
  <c r="G674" i="4"/>
  <c r="G675" i="4"/>
  <c r="G676" i="4"/>
  <c r="G678" i="4"/>
  <c r="G689" i="4"/>
  <c r="G691" i="4"/>
  <c r="G692" i="4"/>
  <c r="G693" i="4"/>
  <c r="G699" i="4"/>
  <c r="G700" i="4"/>
  <c r="G703" i="4"/>
  <c r="G704" i="4"/>
  <c r="G709" i="4"/>
  <c r="G710" i="4"/>
  <c r="G714" i="4"/>
  <c r="G717" i="4"/>
  <c r="G721" i="4"/>
  <c r="G722" i="4"/>
  <c r="G724" i="4"/>
  <c r="U121" i="1"/>
  <c r="G726" i="4"/>
  <c r="U122" i="1"/>
  <c r="G727" i="4"/>
  <c r="U123" i="1"/>
  <c r="G728" i="4"/>
  <c r="G729" i="4"/>
  <c r="G730" i="4"/>
  <c r="G731" i="4"/>
  <c r="G733" i="4"/>
  <c r="G742" i="4"/>
  <c r="G748" i="4"/>
  <c r="G749" i="4"/>
  <c r="G750" i="4"/>
  <c r="G759" i="4"/>
  <c r="G762" i="4"/>
  <c r="G763" i="4"/>
  <c r="G769" i="4"/>
  <c r="G788" i="4"/>
  <c r="G792" i="4"/>
  <c r="G793" i="4"/>
  <c r="G794" i="4"/>
  <c r="G800" i="4"/>
  <c r="G801" i="4"/>
  <c r="G804" i="4"/>
  <c r="G805" i="4"/>
  <c r="G809" i="4"/>
  <c r="G810" i="4"/>
  <c r="G814" i="4"/>
  <c r="G817" i="4"/>
  <c r="G821" i="4"/>
  <c r="G822" i="4"/>
  <c r="G824" i="4"/>
  <c r="G826" i="4"/>
  <c r="G827" i="4"/>
  <c r="G828" i="4"/>
  <c r="U124" i="1"/>
  <c r="G829" i="4"/>
  <c r="U125" i="1"/>
  <c r="G830" i="4"/>
  <c r="U127" i="1"/>
  <c r="G832" i="4"/>
  <c r="U128" i="1"/>
  <c r="G833" i="4"/>
  <c r="U129" i="1"/>
  <c r="G834" i="4"/>
  <c r="U130" i="1"/>
  <c r="G835" i="4"/>
  <c r="U131" i="1"/>
  <c r="G836" i="4"/>
  <c r="U132" i="1"/>
  <c r="G837" i="4"/>
  <c r="U133" i="1"/>
  <c r="G838" i="4"/>
  <c r="G839" i="4"/>
  <c r="G840" i="4"/>
  <c r="G841" i="4"/>
  <c r="G843" i="4"/>
  <c r="G852" i="4"/>
  <c r="G858" i="4"/>
  <c r="G859" i="4"/>
  <c r="G860" i="4"/>
  <c r="G869" i="4"/>
  <c r="G872" i="4"/>
  <c r="G873" i="4"/>
  <c r="G879" i="4"/>
  <c r="G897" i="4"/>
  <c r="G901" i="4"/>
  <c r="G902" i="4"/>
  <c r="G903" i="4"/>
  <c r="G909" i="4"/>
  <c r="G910" i="4"/>
  <c r="G913" i="4"/>
  <c r="G914" i="4"/>
  <c r="G918" i="4"/>
  <c r="G919" i="4"/>
  <c r="G923" i="4"/>
  <c r="G926" i="4"/>
  <c r="G929" i="4"/>
  <c r="G930" i="4"/>
  <c r="G932" i="4"/>
  <c r="G934" i="4"/>
  <c r="G935" i="4"/>
  <c r="G936" i="4"/>
  <c r="G937" i="4"/>
  <c r="G938" i="4"/>
  <c r="G940" i="4"/>
  <c r="G941" i="4"/>
  <c r="G942" i="4"/>
  <c r="G943" i="4"/>
  <c r="G944" i="4"/>
  <c r="G945" i="4"/>
  <c r="G946" i="4"/>
  <c r="U134" i="1"/>
  <c r="G947" i="4"/>
  <c r="U135" i="1"/>
  <c r="G948" i="4"/>
  <c r="U136" i="1"/>
  <c r="G949" i="4"/>
  <c r="G950" i="4"/>
  <c r="G951" i="4"/>
  <c r="G953" i="4"/>
  <c r="G962" i="4"/>
  <c r="G968" i="4"/>
  <c r="G969" i="4"/>
  <c r="G970" i="4"/>
  <c r="G979" i="4"/>
  <c r="G982" i="4"/>
  <c r="G983" i="4"/>
  <c r="G989" i="4"/>
  <c r="G1007" i="4"/>
  <c r="G1011" i="4"/>
  <c r="G1012" i="4"/>
  <c r="G1013" i="4"/>
  <c r="G1019" i="4"/>
  <c r="G1020" i="4"/>
  <c r="G1023" i="4"/>
  <c r="G1024" i="4"/>
  <c r="G1028" i="4"/>
  <c r="G1029" i="4"/>
  <c r="G1033" i="4"/>
  <c r="G1035" i="4"/>
  <c r="G1038" i="4"/>
  <c r="G1040" i="4"/>
  <c r="G1041" i="4"/>
  <c r="G1042" i="4"/>
  <c r="G1043" i="4"/>
  <c r="G1044" i="4"/>
  <c r="G1045" i="4"/>
  <c r="G1047" i="4"/>
  <c r="G1048" i="4"/>
  <c r="G1049" i="4"/>
  <c r="G1050" i="4"/>
  <c r="G1051" i="4"/>
  <c r="G1052" i="4"/>
  <c r="G1053" i="4"/>
  <c r="G1054" i="4"/>
  <c r="G1055" i="4"/>
  <c r="G1056" i="4"/>
  <c r="U138" i="1"/>
  <c r="G1058" i="4"/>
  <c r="U139" i="1"/>
  <c r="G1059" i="4"/>
  <c r="U140" i="1"/>
  <c r="G1060" i="4"/>
  <c r="U141" i="1"/>
  <c r="G1061" i="4"/>
  <c r="U142" i="1"/>
  <c r="G1062" i="4"/>
  <c r="G1063" i="4"/>
  <c r="G1064" i="4"/>
  <c r="G1066" i="4"/>
  <c r="G1075" i="4"/>
  <c r="G1081" i="4"/>
  <c r="G1082" i="4"/>
  <c r="G1083" i="4"/>
  <c r="G1092" i="4"/>
  <c r="G1095" i="4"/>
  <c r="G1096" i="4"/>
  <c r="G1102" i="4"/>
  <c r="G1120" i="4"/>
  <c r="G1124" i="4"/>
  <c r="G1125" i="4"/>
  <c r="G1126" i="4"/>
  <c r="G1132" i="4"/>
  <c r="G1133" i="4"/>
  <c r="G1136" i="4"/>
  <c r="G1137" i="4"/>
  <c r="G1141" i="4"/>
  <c r="G1142" i="4"/>
  <c r="G1146" i="4"/>
  <c r="G1148" i="4"/>
  <c r="G1151" i="4"/>
  <c r="G1153" i="4"/>
  <c r="G1154" i="4"/>
  <c r="G1155" i="4"/>
  <c r="G1156" i="4"/>
  <c r="G1157" i="4"/>
  <c r="G1158" i="4"/>
  <c r="G1160" i="4"/>
  <c r="G1161" i="4"/>
  <c r="G1162" i="4"/>
  <c r="G1163" i="4"/>
  <c r="G1164" i="4"/>
  <c r="G1165" i="4"/>
  <c r="G1166" i="4"/>
  <c r="G1167" i="4"/>
  <c r="G1168" i="4"/>
  <c r="G1169" i="4"/>
  <c r="G1171" i="4"/>
  <c r="G1172" i="4"/>
  <c r="G1173" i="4"/>
  <c r="G1174" i="4"/>
  <c r="G1175" i="4"/>
  <c r="U143" i="1"/>
  <c r="G1176" i="4"/>
  <c r="U144" i="1"/>
  <c r="G1177" i="4"/>
  <c r="U145" i="1"/>
  <c r="G1178" i="4"/>
  <c r="U146" i="1"/>
  <c r="G1179" i="4"/>
  <c r="U147" i="1"/>
  <c r="G1180" i="4"/>
  <c r="U148" i="1"/>
  <c r="G1181" i="4"/>
  <c r="U149" i="1"/>
  <c r="G1182" i="4"/>
  <c r="G1183" i="4"/>
  <c r="G1185" i="4"/>
  <c r="G1194" i="4"/>
  <c r="G1200" i="4"/>
  <c r="G1201" i="4"/>
  <c r="G1202" i="4"/>
  <c r="G1211" i="4"/>
  <c r="G1214" i="4"/>
  <c r="G1215" i="4"/>
  <c r="G1221" i="4"/>
  <c r="G1239" i="4"/>
  <c r="G1243" i="4"/>
  <c r="G1244" i="4"/>
  <c r="G1245" i="4"/>
  <c r="G1251" i="4"/>
  <c r="G1252" i="4"/>
  <c r="G1255" i="4"/>
  <c r="G1256" i="4"/>
  <c r="G1260" i="4"/>
  <c r="G1261" i="4"/>
  <c r="G1265" i="4"/>
  <c r="G1267" i="4"/>
  <c r="G1270" i="4"/>
  <c r="G1271" i="4"/>
  <c r="G1273" i="4"/>
  <c r="G1274" i="4"/>
  <c r="G1275" i="4"/>
  <c r="G1276" i="4"/>
  <c r="G1277" i="4"/>
  <c r="G1278" i="4"/>
  <c r="G1280" i="4"/>
  <c r="G1281" i="4"/>
  <c r="G1282" i="4"/>
  <c r="G1283" i="4"/>
  <c r="G1284" i="4"/>
  <c r="G1285" i="4"/>
  <c r="G1286" i="4"/>
  <c r="G1287" i="4"/>
  <c r="G1288" i="4"/>
  <c r="G1289" i="4"/>
  <c r="G1291" i="4"/>
  <c r="G1292" i="4"/>
  <c r="G1293" i="4"/>
  <c r="G1294" i="4"/>
  <c r="G1295" i="4"/>
  <c r="G1296" i="4"/>
  <c r="G1297" i="4"/>
  <c r="G1298" i="4"/>
  <c r="G1299" i="4"/>
  <c r="G1300" i="4"/>
  <c r="G1301" i="4"/>
  <c r="G1302" i="4"/>
  <c r="G1304" i="4"/>
  <c r="G1313" i="4"/>
  <c r="G1317" i="4"/>
  <c r="G1320" i="4"/>
  <c r="G1322" i="4"/>
  <c r="G1323" i="4"/>
  <c r="G1324" i="4"/>
  <c r="G1325" i="4"/>
  <c r="G1326" i="4"/>
  <c r="G1327" i="4"/>
  <c r="G1329" i="4"/>
  <c r="G1330" i="4"/>
  <c r="G1332" i="4"/>
  <c r="G1334" i="4"/>
  <c r="G1336" i="4"/>
  <c r="G1337" i="4"/>
  <c r="G1338" i="4"/>
  <c r="G1339" i="4"/>
  <c r="G1340" i="4"/>
  <c r="G1341" i="4"/>
  <c r="G1342" i="4"/>
  <c r="G1343" i="4"/>
  <c r="G1345" i="4"/>
  <c r="G1346" i="4"/>
  <c r="G1347" i="4"/>
  <c r="G1348" i="4"/>
  <c r="G1349" i="4"/>
  <c r="G1350" i="4"/>
  <c r="G1351" i="4"/>
  <c r="G1352" i="4"/>
  <c r="G1353" i="4"/>
  <c r="G1354" i="4"/>
  <c r="G1356" i="4"/>
  <c r="G1357" i="4"/>
  <c r="G1358" i="4"/>
  <c r="G1359" i="4"/>
  <c r="G1360" i="4"/>
  <c r="G1361" i="4"/>
  <c r="G1362" i="4"/>
  <c r="G1363" i="4"/>
  <c r="G1364" i="4"/>
  <c r="G1365" i="4"/>
  <c r="G1366" i="4"/>
  <c r="G1367" i="4"/>
  <c r="W25" i="18"/>
  <c r="V25" i="18"/>
  <c r="Z25" i="18"/>
  <c r="K25" i="18"/>
  <c r="K26" i="18"/>
  <c r="T25" i="18"/>
  <c r="X25" i="18"/>
  <c r="AA25" i="18"/>
  <c r="U25" i="18"/>
  <c r="S25" i="18"/>
  <c r="X123" i="4"/>
  <c r="AC123" i="4"/>
  <c r="X124" i="4"/>
  <c r="AC124" i="4"/>
  <c r="X125" i="4"/>
  <c r="AC125" i="4"/>
  <c r="X126" i="4"/>
  <c r="AC126" i="4"/>
  <c r="X127" i="4"/>
  <c r="AC127" i="4"/>
  <c r="X128" i="4"/>
  <c r="AC128" i="4"/>
  <c r="X129" i="4"/>
  <c r="AC129" i="4"/>
  <c r="X130" i="4"/>
  <c r="AC130" i="4"/>
  <c r="X131" i="4"/>
  <c r="AC131" i="4"/>
  <c r="X132" i="4"/>
  <c r="AC132" i="4"/>
  <c r="X133" i="4"/>
  <c r="AC133" i="4"/>
  <c r="X134" i="4"/>
  <c r="AC134" i="4"/>
  <c r="X135" i="4"/>
  <c r="AC135" i="4"/>
  <c r="X136" i="4"/>
  <c r="AC136" i="4"/>
  <c r="X137" i="4"/>
  <c r="AC137" i="4"/>
  <c r="X138" i="4"/>
  <c r="AC138" i="4"/>
  <c r="X139" i="4"/>
  <c r="AC139" i="4"/>
  <c r="X140" i="4"/>
  <c r="AC140" i="4"/>
  <c r="X141" i="4"/>
  <c r="AC141" i="4"/>
  <c r="X142" i="4"/>
  <c r="AC142" i="4"/>
  <c r="X143" i="4"/>
  <c r="AC143" i="4"/>
  <c r="X144" i="4"/>
  <c r="AC144" i="4"/>
  <c r="X145" i="4"/>
  <c r="AC145" i="4"/>
  <c r="X146" i="4"/>
  <c r="AC146" i="4"/>
  <c r="X147" i="4"/>
  <c r="AC147" i="4"/>
  <c r="X148" i="4"/>
  <c r="AC148" i="4"/>
  <c r="X149" i="4"/>
  <c r="AC149" i="4"/>
  <c r="X150" i="4"/>
  <c r="AC150" i="4"/>
  <c r="X151" i="4"/>
  <c r="AC151" i="4"/>
  <c r="X152" i="4"/>
  <c r="AC152" i="4"/>
  <c r="X153" i="4"/>
  <c r="AC153" i="4"/>
  <c r="X154" i="4"/>
  <c r="AC154" i="4"/>
  <c r="X155" i="4"/>
  <c r="AC155" i="4"/>
  <c r="X156" i="4"/>
  <c r="AC156" i="4"/>
  <c r="X157" i="4"/>
  <c r="AC157" i="4"/>
  <c r="X158" i="4"/>
  <c r="AC158" i="4"/>
  <c r="X159" i="4"/>
  <c r="AC159" i="4"/>
  <c r="X160" i="4"/>
  <c r="AC160" i="4"/>
  <c r="X161" i="4"/>
  <c r="AC161" i="4"/>
  <c r="X162" i="4"/>
  <c r="AC162" i="4"/>
  <c r="X163" i="4"/>
  <c r="AC163" i="4"/>
  <c r="X164" i="4"/>
  <c r="AC164" i="4"/>
  <c r="X165" i="4"/>
  <c r="AC165" i="4"/>
  <c r="X166" i="4"/>
  <c r="AC166" i="4"/>
  <c r="X167" i="4"/>
  <c r="AC167" i="4"/>
  <c r="X168" i="4"/>
  <c r="AC168" i="4"/>
  <c r="X169" i="4"/>
  <c r="AC169" i="4"/>
  <c r="X170" i="4"/>
  <c r="AC170" i="4"/>
  <c r="X171" i="4"/>
  <c r="AC171" i="4"/>
  <c r="X172" i="4"/>
  <c r="AC172" i="4"/>
  <c r="X173" i="4"/>
  <c r="AC173" i="4"/>
  <c r="X174" i="4"/>
  <c r="AC174" i="4"/>
  <c r="X175" i="4"/>
  <c r="AC175" i="4"/>
  <c r="X176" i="4"/>
  <c r="AC176" i="4"/>
  <c r="X177" i="4"/>
  <c r="AC177" i="4"/>
  <c r="X178" i="4"/>
  <c r="AC178" i="4"/>
  <c r="X179" i="4"/>
  <c r="AC179" i="4"/>
  <c r="X180" i="4"/>
  <c r="AC180" i="4"/>
  <c r="X181" i="4"/>
  <c r="AC181" i="4"/>
  <c r="X182" i="4"/>
  <c r="AC182" i="4"/>
  <c r="X183" i="4"/>
  <c r="AC183" i="4"/>
  <c r="X184" i="4"/>
  <c r="AC184" i="4"/>
  <c r="X185" i="4"/>
  <c r="AC185" i="4"/>
  <c r="X186" i="4"/>
  <c r="AC186" i="4"/>
  <c r="X187" i="4"/>
  <c r="AC187" i="4"/>
  <c r="X188" i="4"/>
  <c r="AC188" i="4"/>
  <c r="X189" i="4"/>
  <c r="AC189" i="4"/>
  <c r="X190" i="4"/>
  <c r="AC190" i="4"/>
  <c r="X191" i="4"/>
  <c r="AC191" i="4"/>
  <c r="X192" i="4"/>
  <c r="AC192" i="4"/>
  <c r="X193" i="4"/>
  <c r="AC193" i="4"/>
  <c r="X194" i="4"/>
  <c r="AC194" i="4"/>
  <c r="X195" i="4"/>
  <c r="AC195" i="4"/>
  <c r="X196" i="4"/>
  <c r="AC196" i="4"/>
  <c r="X197" i="4"/>
  <c r="AC197" i="4"/>
  <c r="X198" i="4"/>
  <c r="AC198" i="4"/>
  <c r="X199" i="4"/>
  <c r="AC199" i="4"/>
  <c r="X200" i="4"/>
  <c r="AC200" i="4"/>
  <c r="X201" i="4"/>
  <c r="AC201" i="4"/>
  <c r="X202" i="4"/>
  <c r="AC202" i="4"/>
  <c r="X203" i="4"/>
  <c r="AC203" i="4"/>
  <c r="X204" i="4"/>
  <c r="AC204" i="4"/>
  <c r="X205" i="4"/>
  <c r="AC205" i="4"/>
  <c r="X206" i="4"/>
  <c r="AC206" i="4"/>
  <c r="X207" i="4"/>
  <c r="AC207" i="4"/>
  <c r="X208" i="4"/>
  <c r="AC208" i="4"/>
  <c r="X209" i="4"/>
  <c r="AC209" i="4"/>
  <c r="X210" i="4"/>
  <c r="AC210" i="4"/>
  <c r="X211" i="4"/>
  <c r="AC211" i="4"/>
  <c r="X212" i="4"/>
  <c r="AC212" i="4"/>
  <c r="X213" i="4"/>
  <c r="AC213" i="4"/>
  <c r="X214" i="4"/>
  <c r="AC214" i="4"/>
  <c r="X215" i="4"/>
  <c r="AC215" i="4"/>
  <c r="X216" i="4"/>
  <c r="AC216" i="4"/>
  <c r="X217" i="4"/>
  <c r="AC217" i="4"/>
  <c r="X218" i="4"/>
  <c r="AC218" i="4"/>
  <c r="X219" i="4"/>
  <c r="AC219" i="4"/>
  <c r="X220" i="4"/>
  <c r="AC220" i="4"/>
  <c r="X221" i="4"/>
  <c r="AC221" i="4"/>
  <c r="X222" i="4"/>
  <c r="AC222" i="4"/>
  <c r="X223" i="4"/>
  <c r="AC223" i="4"/>
  <c r="X224" i="4"/>
  <c r="AC224" i="4"/>
  <c r="X225" i="4"/>
  <c r="AC225" i="4"/>
  <c r="X226" i="4"/>
  <c r="AC226" i="4"/>
  <c r="X227" i="4"/>
  <c r="AC227" i="4"/>
  <c r="X228" i="4"/>
  <c r="AC228" i="4"/>
  <c r="X229" i="4"/>
  <c r="AC229" i="4"/>
  <c r="X230" i="4"/>
  <c r="AC230" i="4"/>
  <c r="X231" i="4"/>
  <c r="AC231" i="4"/>
  <c r="X232" i="4"/>
  <c r="AC232" i="4"/>
  <c r="X233" i="4"/>
  <c r="AC233" i="4"/>
  <c r="X234" i="4"/>
  <c r="AC234" i="4"/>
  <c r="X235" i="4"/>
  <c r="AC235" i="4"/>
  <c r="X236" i="4"/>
  <c r="AC236" i="4"/>
  <c r="X237" i="4"/>
  <c r="AC237" i="4"/>
  <c r="X238" i="4"/>
  <c r="AC238" i="4"/>
  <c r="X239" i="4"/>
  <c r="AC239" i="4"/>
  <c r="X240" i="4"/>
  <c r="AC240" i="4"/>
  <c r="X241" i="4"/>
  <c r="AC241" i="4"/>
  <c r="X242" i="4"/>
  <c r="AC242" i="4"/>
  <c r="X243" i="4"/>
  <c r="AC243" i="4"/>
  <c r="X244" i="4"/>
  <c r="AC244" i="4"/>
  <c r="X245" i="4"/>
  <c r="AC245" i="4"/>
  <c r="X246" i="4"/>
  <c r="AC246" i="4"/>
  <c r="X247" i="4"/>
  <c r="AC247" i="4"/>
  <c r="X248" i="4"/>
  <c r="AC248" i="4"/>
  <c r="X249" i="4"/>
  <c r="AC249" i="4"/>
  <c r="X250" i="4"/>
  <c r="AC250" i="4"/>
  <c r="X251" i="4"/>
  <c r="AC251" i="4"/>
  <c r="X252" i="4"/>
  <c r="AC252" i="4"/>
  <c r="X253" i="4"/>
  <c r="AC253" i="4"/>
  <c r="X254" i="4"/>
  <c r="AC254" i="4"/>
  <c r="X255" i="4"/>
  <c r="AC255" i="4"/>
  <c r="X256" i="4"/>
  <c r="AC256" i="4"/>
  <c r="X257" i="4"/>
  <c r="AC257" i="4"/>
  <c r="X258" i="4"/>
  <c r="AC258" i="4"/>
  <c r="X259" i="4"/>
  <c r="AC259" i="4"/>
  <c r="X260" i="4"/>
  <c r="AC260" i="4"/>
  <c r="X261" i="4"/>
  <c r="AC261" i="4"/>
  <c r="X262" i="4"/>
  <c r="AC262" i="4"/>
  <c r="X263" i="4"/>
  <c r="AC263" i="4"/>
  <c r="X264" i="4"/>
  <c r="AC264" i="4"/>
  <c r="X265" i="4"/>
  <c r="AC265" i="4"/>
  <c r="X266" i="4"/>
  <c r="AC266" i="4"/>
  <c r="X267" i="4"/>
  <c r="AC267" i="4"/>
  <c r="X268" i="4"/>
  <c r="AC268" i="4"/>
  <c r="X269" i="4"/>
  <c r="AC269" i="4"/>
  <c r="X270" i="4"/>
  <c r="AC270" i="4"/>
  <c r="X271" i="4"/>
  <c r="AC271" i="4"/>
  <c r="X272" i="4"/>
  <c r="AC272" i="4"/>
  <c r="X273" i="4"/>
  <c r="AC273" i="4"/>
  <c r="X274" i="4"/>
  <c r="AC274" i="4"/>
  <c r="X275" i="4"/>
  <c r="AC275" i="4"/>
  <c r="X276" i="4"/>
  <c r="AC276" i="4"/>
  <c r="X277" i="4"/>
  <c r="AC277" i="4"/>
  <c r="X278" i="4"/>
  <c r="AC278" i="4"/>
  <c r="X279" i="4"/>
  <c r="AC279" i="4"/>
  <c r="X280" i="4"/>
  <c r="AC280" i="4"/>
  <c r="X281" i="4"/>
  <c r="AC281" i="4"/>
  <c r="X282" i="4"/>
  <c r="AC282" i="4"/>
  <c r="X283" i="4"/>
  <c r="AC283" i="4"/>
  <c r="X284" i="4"/>
  <c r="AC284" i="4"/>
  <c r="X285" i="4"/>
  <c r="AC285" i="4"/>
  <c r="X286" i="4"/>
  <c r="AC286" i="4"/>
  <c r="X287" i="4"/>
  <c r="AC287" i="4"/>
  <c r="X288" i="4"/>
  <c r="AC288" i="4"/>
  <c r="X289" i="4"/>
  <c r="AC289" i="4"/>
  <c r="X290" i="4"/>
  <c r="AC290" i="4"/>
  <c r="X291" i="4"/>
  <c r="AC291" i="4"/>
  <c r="X292" i="4"/>
  <c r="AC292" i="4"/>
  <c r="X293" i="4"/>
  <c r="AC293" i="4"/>
  <c r="X294" i="4"/>
  <c r="AC294" i="4"/>
  <c r="X295" i="4"/>
  <c r="AC295" i="4"/>
  <c r="X296" i="4"/>
  <c r="AC296" i="4"/>
  <c r="X297" i="4"/>
  <c r="AC297" i="4"/>
  <c r="X298" i="4"/>
  <c r="AC298" i="4"/>
  <c r="X299" i="4"/>
  <c r="AC299" i="4"/>
  <c r="X300" i="4"/>
  <c r="AC300" i="4"/>
  <c r="X301" i="4"/>
  <c r="AC301" i="4"/>
  <c r="X302" i="4"/>
  <c r="AC302" i="4"/>
  <c r="X303" i="4"/>
  <c r="AC303" i="4"/>
  <c r="X304" i="4"/>
  <c r="AC304" i="4"/>
  <c r="X305" i="4"/>
  <c r="AC305" i="4"/>
  <c r="X306" i="4"/>
  <c r="AC306" i="4"/>
  <c r="X307" i="4"/>
  <c r="AC307" i="4"/>
  <c r="X308" i="4"/>
  <c r="AC308" i="4"/>
  <c r="X309" i="4"/>
  <c r="AC309" i="4"/>
  <c r="X310" i="4"/>
  <c r="AC310" i="4"/>
  <c r="X311" i="4"/>
  <c r="AC311" i="4"/>
  <c r="X312" i="4"/>
  <c r="AC312" i="4"/>
  <c r="X313" i="4"/>
  <c r="AC313" i="4"/>
  <c r="X314" i="4"/>
  <c r="AC314" i="4"/>
  <c r="X315" i="4"/>
  <c r="AC315" i="4"/>
  <c r="X316" i="4"/>
  <c r="AC316" i="4"/>
  <c r="X317" i="4"/>
  <c r="AC317" i="4"/>
  <c r="X318" i="4"/>
  <c r="AC318" i="4"/>
  <c r="X319" i="4"/>
  <c r="AC319" i="4"/>
  <c r="X320" i="4"/>
  <c r="AC320" i="4"/>
  <c r="X321" i="4"/>
  <c r="AC321" i="4"/>
  <c r="X322" i="4"/>
  <c r="AC322" i="4"/>
  <c r="X323" i="4"/>
  <c r="AC323" i="4"/>
  <c r="X324" i="4"/>
  <c r="AC324" i="4"/>
  <c r="X325" i="4"/>
  <c r="AC325" i="4"/>
  <c r="X326" i="4"/>
  <c r="AC326" i="4"/>
  <c r="X327" i="4"/>
  <c r="AC327" i="4"/>
  <c r="X328" i="4"/>
  <c r="AC328" i="4"/>
  <c r="X329" i="4"/>
  <c r="AC329" i="4"/>
  <c r="X330" i="4"/>
  <c r="AC330" i="4"/>
  <c r="X331" i="4"/>
  <c r="AC331" i="4"/>
  <c r="X332" i="4"/>
  <c r="AC332" i="4"/>
  <c r="X333" i="4"/>
  <c r="AC333" i="4"/>
  <c r="X334" i="4"/>
  <c r="AC334" i="4"/>
  <c r="X335" i="4"/>
  <c r="AC335" i="4"/>
  <c r="X336" i="4"/>
  <c r="AC336" i="4"/>
  <c r="X337" i="4"/>
  <c r="AC337" i="4"/>
  <c r="X338" i="4"/>
  <c r="AC338" i="4"/>
  <c r="X339" i="4"/>
  <c r="AC339" i="4"/>
  <c r="X340" i="4"/>
  <c r="AC340" i="4"/>
  <c r="X341" i="4"/>
  <c r="AC341" i="4"/>
  <c r="X342" i="4"/>
  <c r="AC342" i="4"/>
  <c r="X343" i="4"/>
  <c r="AC343" i="4"/>
  <c r="X344" i="4"/>
  <c r="AC344" i="4"/>
  <c r="X345" i="4"/>
  <c r="AC345" i="4"/>
  <c r="X346" i="4"/>
  <c r="AC346" i="4"/>
  <c r="X347" i="4"/>
  <c r="AC347" i="4"/>
  <c r="X348" i="4"/>
  <c r="AC348" i="4"/>
  <c r="X349" i="4"/>
  <c r="AC349" i="4"/>
  <c r="X350" i="4"/>
  <c r="AC350" i="4"/>
  <c r="X351" i="4"/>
  <c r="AC351" i="4"/>
  <c r="X352" i="4"/>
  <c r="AC352" i="4"/>
  <c r="X353" i="4"/>
  <c r="AC353" i="4"/>
  <c r="X354" i="4"/>
  <c r="AC354" i="4"/>
  <c r="X355" i="4"/>
  <c r="AC355" i="4"/>
  <c r="X356" i="4"/>
  <c r="AC356" i="4"/>
  <c r="X357" i="4"/>
  <c r="AC357" i="4"/>
  <c r="X358" i="4"/>
  <c r="AC358" i="4"/>
  <c r="X359" i="4"/>
  <c r="AC359" i="4"/>
  <c r="X360" i="4"/>
  <c r="AC360" i="4"/>
  <c r="X361" i="4"/>
  <c r="AC361" i="4"/>
  <c r="X362" i="4"/>
  <c r="AC362" i="4"/>
  <c r="X363" i="4"/>
  <c r="AC363" i="4"/>
  <c r="X364" i="4"/>
  <c r="AC364" i="4"/>
  <c r="X365" i="4"/>
  <c r="AC365" i="4"/>
  <c r="X366" i="4"/>
  <c r="AC366" i="4"/>
  <c r="X367" i="4"/>
  <c r="AC367" i="4"/>
  <c r="X368" i="4"/>
  <c r="AC368" i="4"/>
  <c r="X369" i="4"/>
  <c r="AC369" i="4"/>
  <c r="X370" i="4"/>
  <c r="AC370" i="4"/>
  <c r="X371" i="4"/>
  <c r="AC371" i="4"/>
  <c r="X372" i="4"/>
  <c r="AC372" i="4"/>
  <c r="X373" i="4"/>
  <c r="AC373" i="4"/>
  <c r="X374" i="4"/>
  <c r="AC374" i="4"/>
  <c r="X375" i="4"/>
  <c r="AC375" i="4"/>
  <c r="X376" i="4"/>
  <c r="AC376" i="4"/>
  <c r="X377" i="4"/>
  <c r="AC377" i="4"/>
  <c r="X378" i="4"/>
  <c r="AC378" i="4"/>
  <c r="X379" i="4"/>
  <c r="AC379" i="4"/>
  <c r="X380" i="4"/>
  <c r="AC380" i="4"/>
  <c r="X381" i="4"/>
  <c r="AC381" i="4"/>
  <c r="X382" i="4"/>
  <c r="AC382" i="4"/>
  <c r="X383" i="4"/>
  <c r="AC383" i="4"/>
  <c r="X384" i="4"/>
  <c r="AC384" i="4"/>
  <c r="X385" i="4"/>
  <c r="AC385" i="4"/>
  <c r="X386" i="4"/>
  <c r="AC386" i="4"/>
  <c r="X387" i="4"/>
  <c r="AC387" i="4"/>
  <c r="X388" i="4"/>
  <c r="AC388" i="4"/>
  <c r="X389" i="4"/>
  <c r="AC389" i="4"/>
  <c r="X390" i="4"/>
  <c r="AC390" i="4"/>
  <c r="X391" i="4"/>
  <c r="AC391" i="4"/>
  <c r="X392" i="4"/>
  <c r="AC392" i="4"/>
  <c r="X393" i="4"/>
  <c r="AC393" i="4"/>
  <c r="X394" i="4"/>
  <c r="AC394" i="4"/>
  <c r="X395" i="4"/>
  <c r="AC395" i="4"/>
  <c r="X396" i="4"/>
  <c r="AC396" i="4"/>
  <c r="X397" i="4"/>
  <c r="AC397" i="4"/>
  <c r="X398" i="4"/>
  <c r="AC398" i="4"/>
  <c r="X399" i="4"/>
  <c r="AC399" i="4"/>
  <c r="X400" i="4"/>
  <c r="AC400" i="4"/>
  <c r="X401" i="4"/>
  <c r="AC401" i="4"/>
  <c r="X402" i="4"/>
  <c r="AC402" i="4"/>
  <c r="X403" i="4"/>
  <c r="AC403" i="4"/>
  <c r="X404" i="4"/>
  <c r="AC404" i="4"/>
  <c r="X405" i="4"/>
  <c r="AC405" i="4"/>
  <c r="X406" i="4"/>
  <c r="AC406" i="4"/>
  <c r="X407" i="4"/>
  <c r="AC407" i="4"/>
  <c r="X408" i="4"/>
  <c r="AC408" i="4"/>
  <c r="X409" i="4"/>
  <c r="AC409" i="4"/>
  <c r="X410" i="4"/>
  <c r="AC410" i="4"/>
  <c r="X411" i="4"/>
  <c r="AC411" i="4"/>
  <c r="X412" i="4"/>
  <c r="AC412" i="4"/>
  <c r="X413" i="4"/>
  <c r="AC413" i="4"/>
  <c r="X414" i="4"/>
  <c r="AC414" i="4"/>
  <c r="X415" i="4"/>
  <c r="AC415" i="4"/>
  <c r="X416" i="4"/>
  <c r="AC416" i="4"/>
  <c r="X417" i="4"/>
  <c r="AC417" i="4"/>
  <c r="X418" i="4"/>
  <c r="AC418" i="4"/>
  <c r="X419" i="4"/>
  <c r="AC419" i="4"/>
  <c r="X420" i="4"/>
  <c r="AC420" i="4"/>
  <c r="X421" i="4"/>
  <c r="AC421" i="4"/>
  <c r="X422" i="4"/>
  <c r="AC422" i="4"/>
  <c r="X423" i="4"/>
  <c r="AC423" i="4"/>
  <c r="X424" i="4"/>
  <c r="AC424" i="4"/>
  <c r="X425" i="4"/>
  <c r="AC425" i="4"/>
  <c r="X426" i="4"/>
  <c r="AC426" i="4"/>
  <c r="X427" i="4"/>
  <c r="AC427" i="4"/>
  <c r="X428" i="4"/>
  <c r="AC428" i="4"/>
  <c r="X429" i="4"/>
  <c r="AC429" i="4"/>
  <c r="X430" i="4"/>
  <c r="AC430" i="4"/>
  <c r="X431" i="4"/>
  <c r="AC431" i="4"/>
  <c r="X432" i="4"/>
  <c r="AC432" i="4"/>
  <c r="X433" i="4"/>
  <c r="AC433" i="4"/>
  <c r="X434" i="4"/>
  <c r="AC434" i="4"/>
  <c r="X435" i="4"/>
  <c r="AC435" i="4"/>
  <c r="X436" i="4"/>
  <c r="AC436" i="4"/>
  <c r="X437" i="4"/>
  <c r="AC437" i="4"/>
  <c r="X438" i="4"/>
  <c r="AC438" i="4"/>
  <c r="X439" i="4"/>
  <c r="AC439" i="4"/>
  <c r="X440" i="4"/>
  <c r="AC440" i="4"/>
  <c r="X441" i="4"/>
  <c r="AC441" i="4"/>
  <c r="X442" i="4"/>
  <c r="AC442" i="4"/>
  <c r="X443" i="4"/>
  <c r="AC443" i="4"/>
  <c r="X444" i="4"/>
  <c r="AC444" i="4"/>
  <c r="X445" i="4"/>
  <c r="AC445" i="4"/>
  <c r="X446" i="4"/>
  <c r="AC446" i="4"/>
  <c r="X447" i="4"/>
  <c r="AC447" i="4"/>
  <c r="X448" i="4"/>
  <c r="AC448" i="4"/>
  <c r="X449" i="4"/>
  <c r="AC449" i="4"/>
  <c r="X450" i="4"/>
  <c r="AC450" i="4"/>
  <c r="X451" i="4"/>
  <c r="AC451" i="4"/>
  <c r="X452" i="4"/>
  <c r="AC452" i="4"/>
  <c r="X453" i="4"/>
  <c r="AC453" i="4"/>
  <c r="X454" i="4"/>
  <c r="AC454" i="4"/>
  <c r="X455" i="4"/>
  <c r="AC455" i="4"/>
  <c r="X456" i="4"/>
  <c r="AC456" i="4"/>
  <c r="X457" i="4"/>
  <c r="AC457" i="4"/>
  <c r="X458" i="4"/>
  <c r="AC458" i="4"/>
  <c r="X459" i="4"/>
  <c r="AC459" i="4"/>
  <c r="X460" i="4"/>
  <c r="AC460" i="4"/>
  <c r="X461" i="4"/>
  <c r="AC461" i="4"/>
  <c r="X462" i="4"/>
  <c r="AC462" i="4"/>
  <c r="X463" i="4"/>
  <c r="AC463" i="4"/>
  <c r="X464" i="4"/>
  <c r="AC464" i="4"/>
  <c r="X465" i="4"/>
  <c r="AC465" i="4"/>
  <c r="X466" i="4"/>
  <c r="AC466" i="4"/>
  <c r="X467" i="4"/>
  <c r="AC467" i="4"/>
  <c r="X468" i="4"/>
  <c r="AC468" i="4"/>
  <c r="X469" i="4"/>
  <c r="AC469" i="4"/>
  <c r="X470" i="4"/>
  <c r="AC470" i="4"/>
  <c r="X471" i="4"/>
  <c r="AC471" i="4"/>
  <c r="X472" i="4"/>
  <c r="AC472" i="4"/>
  <c r="X473" i="4"/>
  <c r="AC473" i="4"/>
  <c r="X474" i="4"/>
  <c r="AC474" i="4"/>
  <c r="X475" i="4"/>
  <c r="AC475" i="4"/>
  <c r="X476" i="4"/>
  <c r="AC476" i="4"/>
  <c r="X477" i="4"/>
  <c r="AC477" i="4"/>
  <c r="X478" i="4"/>
  <c r="AC478" i="4"/>
  <c r="X479" i="4"/>
  <c r="AC479" i="4"/>
  <c r="X480" i="4"/>
  <c r="AC480" i="4"/>
  <c r="X481" i="4"/>
  <c r="AC481" i="4"/>
  <c r="X482" i="4"/>
  <c r="AC482" i="4"/>
  <c r="X483" i="4"/>
  <c r="AC483" i="4"/>
  <c r="X484" i="4"/>
  <c r="AC484" i="4"/>
  <c r="X485" i="4"/>
  <c r="AC485" i="4"/>
  <c r="X486" i="4"/>
  <c r="AC486" i="4"/>
  <c r="X487" i="4"/>
  <c r="AC487" i="4"/>
  <c r="X488" i="4"/>
  <c r="AC488" i="4"/>
  <c r="X489" i="4"/>
  <c r="AC489" i="4"/>
  <c r="X490" i="4"/>
  <c r="AC490" i="4"/>
  <c r="X491" i="4"/>
  <c r="AC491" i="4"/>
  <c r="X492" i="4"/>
  <c r="AC492" i="4"/>
  <c r="X493" i="4"/>
  <c r="AC493" i="4"/>
  <c r="X494" i="4"/>
  <c r="AC494" i="4"/>
  <c r="X495" i="4"/>
  <c r="AC495" i="4"/>
  <c r="X496" i="4"/>
  <c r="AC496" i="4"/>
  <c r="X497" i="4"/>
  <c r="AC497" i="4"/>
  <c r="X498" i="4"/>
  <c r="AC498" i="4"/>
  <c r="X499" i="4"/>
  <c r="AC499" i="4"/>
  <c r="X500" i="4"/>
  <c r="AC500" i="4"/>
  <c r="X501" i="4"/>
  <c r="AC501" i="4"/>
  <c r="X502" i="4"/>
  <c r="AC502" i="4"/>
  <c r="X503" i="4"/>
  <c r="AC503" i="4"/>
  <c r="X504" i="4"/>
  <c r="AC504" i="4"/>
  <c r="X505" i="4"/>
  <c r="AC505" i="4"/>
  <c r="X506" i="4"/>
  <c r="AC506" i="4"/>
  <c r="X507" i="4"/>
  <c r="AC507" i="4"/>
  <c r="X508" i="4"/>
  <c r="AC508" i="4"/>
  <c r="X509" i="4"/>
  <c r="AC509" i="4"/>
  <c r="X510" i="4"/>
  <c r="AC510" i="4"/>
  <c r="X511" i="4"/>
  <c r="AC511" i="4"/>
  <c r="X512" i="4"/>
  <c r="AC512" i="4"/>
  <c r="X513" i="4"/>
  <c r="AC513" i="4"/>
  <c r="X514" i="4"/>
  <c r="AC514" i="4"/>
  <c r="X515" i="4"/>
  <c r="AC515" i="4"/>
  <c r="X516" i="4"/>
  <c r="AC516" i="4"/>
  <c r="X517" i="4"/>
  <c r="AC517" i="4"/>
  <c r="X518" i="4"/>
  <c r="AC518" i="4"/>
  <c r="X519" i="4"/>
  <c r="AC519" i="4"/>
  <c r="X520" i="4"/>
  <c r="AC520" i="4"/>
  <c r="X521" i="4"/>
  <c r="AC521" i="4"/>
  <c r="X522" i="4"/>
  <c r="AC522" i="4"/>
  <c r="X523" i="4"/>
  <c r="AC523" i="4"/>
  <c r="X524" i="4"/>
  <c r="AC524" i="4"/>
  <c r="X525" i="4"/>
  <c r="AC525" i="4"/>
  <c r="X526" i="4"/>
  <c r="AC526" i="4"/>
  <c r="X527" i="4"/>
  <c r="AC527" i="4"/>
  <c r="X528" i="4"/>
  <c r="AC528" i="4"/>
  <c r="X529" i="4"/>
  <c r="AC529" i="4"/>
  <c r="X530" i="4"/>
  <c r="AC530" i="4"/>
  <c r="X531" i="4"/>
  <c r="AC531" i="4"/>
  <c r="X532" i="4"/>
  <c r="AC532" i="4"/>
  <c r="X533" i="4"/>
  <c r="AC533" i="4"/>
  <c r="X534" i="4"/>
  <c r="AC534" i="4"/>
  <c r="X535" i="4"/>
  <c r="AC535" i="4"/>
  <c r="X536" i="4"/>
  <c r="AC536" i="4"/>
  <c r="X537" i="4"/>
  <c r="AC537" i="4"/>
  <c r="X538" i="4"/>
  <c r="AC538" i="4"/>
  <c r="X539" i="4"/>
  <c r="AC539" i="4"/>
  <c r="X540" i="4"/>
  <c r="AC540" i="4"/>
  <c r="X541" i="4"/>
  <c r="AC541" i="4"/>
  <c r="X542" i="4"/>
  <c r="AC542" i="4"/>
  <c r="X543" i="4"/>
  <c r="AC543" i="4"/>
  <c r="X544" i="4"/>
  <c r="AC544" i="4"/>
  <c r="X545" i="4"/>
  <c r="AC545" i="4"/>
  <c r="X546" i="4"/>
  <c r="AC546" i="4"/>
  <c r="X547" i="4"/>
  <c r="AC547" i="4"/>
  <c r="X548" i="4"/>
  <c r="AC548" i="4"/>
  <c r="X549" i="4"/>
  <c r="AC549" i="4"/>
  <c r="X550" i="4"/>
  <c r="AC550" i="4"/>
  <c r="X551" i="4"/>
  <c r="AC551" i="4"/>
  <c r="X552" i="4"/>
  <c r="AC552" i="4"/>
  <c r="X553" i="4"/>
  <c r="AC553" i="4"/>
  <c r="X554" i="4"/>
  <c r="AC554" i="4"/>
  <c r="X555" i="4"/>
  <c r="AC555" i="4"/>
  <c r="X556" i="4"/>
  <c r="AC556" i="4"/>
  <c r="X557" i="4"/>
  <c r="AC557" i="4"/>
  <c r="X558" i="4"/>
  <c r="AC558" i="4"/>
  <c r="X559" i="4"/>
  <c r="AC559" i="4"/>
  <c r="X560" i="4"/>
  <c r="AC560" i="4"/>
  <c r="X561" i="4"/>
  <c r="AC561" i="4"/>
  <c r="X562" i="4"/>
  <c r="AC562" i="4"/>
  <c r="X563" i="4"/>
  <c r="AC563" i="4"/>
  <c r="X564" i="4"/>
  <c r="AC564" i="4"/>
  <c r="X565" i="4"/>
  <c r="AC565" i="4"/>
  <c r="X566" i="4"/>
  <c r="AC566" i="4"/>
  <c r="X567" i="4"/>
  <c r="AC567" i="4"/>
  <c r="X568" i="4"/>
  <c r="AC568" i="4"/>
  <c r="X569" i="4"/>
  <c r="AC569" i="4"/>
  <c r="X570" i="4"/>
  <c r="AC570" i="4"/>
  <c r="X571" i="4"/>
  <c r="AC571" i="4"/>
  <c r="X572" i="4"/>
  <c r="AC572" i="4"/>
  <c r="X573" i="4"/>
  <c r="AC573" i="4"/>
  <c r="X574" i="4"/>
  <c r="AC574" i="4"/>
  <c r="X575" i="4"/>
  <c r="AC575" i="4"/>
  <c r="X576" i="4"/>
  <c r="AC576" i="4"/>
  <c r="X577" i="4"/>
  <c r="AC577" i="4"/>
  <c r="X578" i="4"/>
  <c r="AC578" i="4"/>
  <c r="X579" i="4"/>
  <c r="AC579" i="4"/>
  <c r="X580" i="4"/>
  <c r="AC580" i="4"/>
  <c r="X581" i="4"/>
  <c r="AC581" i="4"/>
  <c r="X582" i="4"/>
  <c r="AC582" i="4"/>
  <c r="X583" i="4"/>
  <c r="AC583" i="4"/>
  <c r="X584" i="4"/>
  <c r="AC584" i="4"/>
  <c r="X585" i="4"/>
  <c r="AC585" i="4"/>
  <c r="X586" i="4"/>
  <c r="AC586" i="4"/>
  <c r="X587" i="4"/>
  <c r="AC587" i="4"/>
  <c r="X588" i="4"/>
  <c r="AC588" i="4"/>
  <c r="X589" i="4"/>
  <c r="AC589" i="4"/>
  <c r="X590" i="4"/>
  <c r="AC590" i="4"/>
  <c r="X591" i="4"/>
  <c r="AC591" i="4"/>
  <c r="X592" i="4"/>
  <c r="AC592" i="4"/>
  <c r="X593" i="4"/>
  <c r="AC593" i="4"/>
  <c r="X594" i="4"/>
  <c r="AC594" i="4"/>
  <c r="X595" i="4"/>
  <c r="AC595" i="4"/>
  <c r="X596" i="4"/>
  <c r="AC596" i="4"/>
  <c r="X597" i="4"/>
  <c r="AC597" i="4"/>
  <c r="X598" i="4"/>
  <c r="AC598" i="4"/>
  <c r="X599" i="4"/>
  <c r="AC599" i="4"/>
  <c r="X600" i="4"/>
  <c r="AC600" i="4"/>
  <c r="X601" i="4"/>
  <c r="AC601" i="4"/>
  <c r="X602" i="4"/>
  <c r="AC602" i="4"/>
  <c r="X603" i="4"/>
  <c r="AC603" i="4"/>
  <c r="X604" i="4"/>
  <c r="AC604" i="4"/>
  <c r="X605" i="4"/>
  <c r="AC605" i="4"/>
  <c r="X606" i="4"/>
  <c r="AC606" i="4"/>
  <c r="X607" i="4"/>
  <c r="AC607" i="4"/>
  <c r="X608" i="4"/>
  <c r="AC608" i="4"/>
  <c r="X609" i="4"/>
  <c r="AC609" i="4"/>
  <c r="X610" i="4"/>
  <c r="AC610" i="4"/>
  <c r="X611" i="4"/>
  <c r="AC611" i="4"/>
  <c r="X612" i="4"/>
  <c r="AC612" i="4"/>
  <c r="X613" i="4"/>
  <c r="AC613" i="4"/>
  <c r="X614" i="4"/>
  <c r="AC614" i="4"/>
  <c r="X615" i="4"/>
  <c r="AC615" i="4"/>
  <c r="X616" i="4"/>
  <c r="AC616" i="4"/>
  <c r="X617" i="4"/>
  <c r="AC617" i="4"/>
  <c r="X618" i="4"/>
  <c r="AC618" i="4"/>
  <c r="X619" i="4"/>
  <c r="AC619" i="4"/>
  <c r="X620" i="4"/>
  <c r="AC620" i="4"/>
  <c r="X621" i="4"/>
  <c r="AC621" i="4"/>
  <c r="X622" i="4"/>
  <c r="AC622" i="4"/>
  <c r="X623" i="4"/>
  <c r="AC623" i="4"/>
  <c r="X624" i="4"/>
  <c r="AC624" i="4"/>
  <c r="X625" i="4"/>
  <c r="AC625" i="4"/>
  <c r="X626" i="4"/>
  <c r="AC626" i="4"/>
  <c r="X627" i="4"/>
  <c r="AC627" i="4"/>
  <c r="X628" i="4"/>
  <c r="AC628" i="4"/>
  <c r="X629" i="4"/>
  <c r="AC629" i="4"/>
  <c r="X630" i="4"/>
  <c r="AC630" i="4"/>
  <c r="X631" i="4"/>
  <c r="AC631" i="4"/>
  <c r="X632" i="4"/>
  <c r="AC632" i="4"/>
  <c r="X633" i="4"/>
  <c r="AC633" i="4"/>
  <c r="X634" i="4"/>
  <c r="AC634" i="4"/>
  <c r="X635" i="4"/>
  <c r="AC635" i="4"/>
  <c r="X636" i="4"/>
  <c r="AC636" i="4"/>
  <c r="X637" i="4"/>
  <c r="AC637" i="4"/>
  <c r="X638" i="4"/>
  <c r="AC638" i="4"/>
  <c r="X639" i="4"/>
  <c r="AC639" i="4"/>
  <c r="X640" i="4"/>
  <c r="AC640" i="4"/>
  <c r="X641" i="4"/>
  <c r="AC641" i="4"/>
  <c r="X642" i="4"/>
  <c r="AC642" i="4"/>
  <c r="X643" i="4"/>
  <c r="AC643" i="4"/>
  <c r="X644" i="4"/>
  <c r="AC644" i="4"/>
  <c r="X645" i="4"/>
  <c r="AC645" i="4"/>
  <c r="X646" i="4"/>
  <c r="AC646" i="4"/>
  <c r="X647" i="4"/>
  <c r="AC647" i="4"/>
  <c r="X648" i="4"/>
  <c r="AC648" i="4"/>
  <c r="X649" i="4"/>
  <c r="AC649" i="4"/>
  <c r="X650" i="4"/>
  <c r="AC650" i="4"/>
  <c r="X651" i="4"/>
  <c r="AC651" i="4"/>
  <c r="X652" i="4"/>
  <c r="AC652" i="4"/>
  <c r="X653" i="4"/>
  <c r="AC653" i="4"/>
  <c r="X654" i="4"/>
  <c r="AC654" i="4"/>
  <c r="X655" i="4"/>
  <c r="AC655" i="4"/>
  <c r="X656" i="4"/>
  <c r="AC656" i="4"/>
  <c r="X657" i="4"/>
  <c r="AC657" i="4"/>
  <c r="X658" i="4"/>
  <c r="AC658" i="4"/>
  <c r="X659" i="4"/>
  <c r="AC659" i="4"/>
  <c r="X660" i="4"/>
  <c r="AC660" i="4"/>
  <c r="X661" i="4"/>
  <c r="AC661" i="4"/>
  <c r="X662" i="4"/>
  <c r="AC662" i="4"/>
  <c r="X663" i="4"/>
  <c r="AC663" i="4"/>
  <c r="X664" i="4"/>
  <c r="AC664" i="4"/>
  <c r="X665" i="4"/>
  <c r="AC665" i="4"/>
  <c r="X666" i="4"/>
  <c r="AC666" i="4"/>
  <c r="X667" i="4"/>
  <c r="AC667" i="4"/>
  <c r="X668" i="4"/>
  <c r="AC668" i="4"/>
  <c r="X669" i="4"/>
  <c r="AC669" i="4"/>
  <c r="X670" i="4"/>
  <c r="AC670" i="4"/>
  <c r="X671" i="4"/>
  <c r="AC671" i="4"/>
  <c r="X672" i="4"/>
  <c r="AC672" i="4"/>
  <c r="X673" i="4"/>
  <c r="AC673" i="4"/>
  <c r="X674" i="4"/>
  <c r="AC674" i="4"/>
  <c r="X675" i="4"/>
  <c r="AC675" i="4"/>
  <c r="X676" i="4"/>
  <c r="AC676" i="4"/>
  <c r="X677" i="4"/>
  <c r="AC677" i="4"/>
  <c r="X678" i="4"/>
  <c r="AC678" i="4"/>
  <c r="X679" i="4"/>
  <c r="AC679" i="4"/>
  <c r="X680" i="4"/>
  <c r="AC680" i="4"/>
  <c r="X681" i="4"/>
  <c r="AC681" i="4"/>
  <c r="X682" i="4"/>
  <c r="AC682" i="4"/>
  <c r="X683" i="4"/>
  <c r="AC683" i="4"/>
  <c r="X684" i="4"/>
  <c r="AC684" i="4"/>
  <c r="X685" i="4"/>
  <c r="AC685" i="4"/>
  <c r="X686" i="4"/>
  <c r="AC686" i="4"/>
  <c r="X687" i="4"/>
  <c r="AC687" i="4"/>
  <c r="X688" i="4"/>
  <c r="AC688" i="4"/>
  <c r="X689" i="4"/>
  <c r="AC689" i="4"/>
  <c r="X690" i="4"/>
  <c r="AC690" i="4"/>
  <c r="X691" i="4"/>
  <c r="AC691" i="4"/>
  <c r="X692" i="4"/>
  <c r="AC692" i="4"/>
  <c r="X693" i="4"/>
  <c r="AC693" i="4"/>
  <c r="X694" i="4"/>
  <c r="AC694" i="4"/>
  <c r="X695" i="4"/>
  <c r="AC695" i="4"/>
  <c r="X696" i="4"/>
  <c r="AC696" i="4"/>
  <c r="X697" i="4"/>
  <c r="AC697" i="4"/>
  <c r="X698" i="4"/>
  <c r="AC698" i="4"/>
  <c r="X699" i="4"/>
  <c r="AC699" i="4"/>
  <c r="X700" i="4"/>
  <c r="AC700" i="4"/>
  <c r="X701" i="4"/>
  <c r="AC701" i="4"/>
  <c r="X702" i="4"/>
  <c r="AC702" i="4"/>
  <c r="X703" i="4"/>
  <c r="AC703" i="4"/>
  <c r="X704" i="4"/>
  <c r="AC704" i="4"/>
  <c r="X705" i="4"/>
  <c r="AC705" i="4"/>
  <c r="X706" i="4"/>
  <c r="AC706" i="4"/>
  <c r="X707" i="4"/>
  <c r="AC707" i="4"/>
  <c r="X708" i="4"/>
  <c r="AC708" i="4"/>
  <c r="X709" i="4"/>
  <c r="AC709" i="4"/>
  <c r="X710" i="4"/>
  <c r="AC710" i="4"/>
  <c r="X711" i="4"/>
  <c r="AC711" i="4"/>
  <c r="X712" i="4"/>
  <c r="AC712" i="4"/>
  <c r="X713" i="4"/>
  <c r="AC713" i="4"/>
  <c r="X714" i="4"/>
  <c r="AC714" i="4"/>
  <c r="X715" i="4"/>
  <c r="AC715" i="4"/>
  <c r="X716" i="4"/>
  <c r="AC716" i="4"/>
  <c r="X717" i="4"/>
  <c r="AC717" i="4"/>
  <c r="X718" i="4"/>
  <c r="AC718" i="4"/>
  <c r="X719" i="4"/>
  <c r="AC719" i="4"/>
  <c r="X720" i="4"/>
  <c r="AC720" i="4"/>
  <c r="X721" i="4"/>
  <c r="AC721" i="4"/>
  <c r="X722" i="4"/>
  <c r="AC722" i="4"/>
  <c r="X723" i="4"/>
  <c r="AC723" i="4"/>
  <c r="X724" i="4"/>
  <c r="AC724" i="4"/>
  <c r="X725" i="4"/>
  <c r="AC725" i="4"/>
  <c r="X726" i="4"/>
  <c r="AC726" i="4"/>
  <c r="X727" i="4"/>
  <c r="AC727" i="4"/>
  <c r="X728" i="4"/>
  <c r="AC728" i="4"/>
  <c r="X729" i="4"/>
  <c r="AC729" i="4"/>
  <c r="X730" i="4"/>
  <c r="AC730" i="4"/>
  <c r="X731" i="4"/>
  <c r="AC731" i="4"/>
  <c r="X732" i="4"/>
  <c r="AC732" i="4"/>
  <c r="X733" i="4"/>
  <c r="AC733" i="4"/>
  <c r="X734" i="4"/>
  <c r="AC734" i="4"/>
  <c r="X735" i="4"/>
  <c r="AC735" i="4"/>
  <c r="X736" i="4"/>
  <c r="AC736" i="4"/>
  <c r="X737" i="4"/>
  <c r="AC737" i="4"/>
  <c r="X738" i="4"/>
  <c r="AC738" i="4"/>
  <c r="X739" i="4"/>
  <c r="AC739" i="4"/>
  <c r="X740" i="4"/>
  <c r="AC740" i="4"/>
  <c r="X741" i="4"/>
  <c r="AC741" i="4"/>
  <c r="X742" i="4"/>
  <c r="AC742" i="4"/>
  <c r="X743" i="4"/>
  <c r="AC743" i="4"/>
  <c r="X744" i="4"/>
  <c r="AC744" i="4"/>
  <c r="X745" i="4"/>
  <c r="AC745" i="4"/>
  <c r="X746" i="4"/>
  <c r="AC746" i="4"/>
  <c r="X747" i="4"/>
  <c r="AC747" i="4"/>
  <c r="X748" i="4"/>
  <c r="AC748" i="4"/>
  <c r="X749" i="4"/>
  <c r="AC749" i="4"/>
  <c r="X750" i="4"/>
  <c r="AC750" i="4"/>
  <c r="X751" i="4"/>
  <c r="AC751" i="4"/>
  <c r="X752" i="4"/>
  <c r="AC752" i="4"/>
  <c r="X753" i="4"/>
  <c r="AC753" i="4"/>
  <c r="X754" i="4"/>
  <c r="AC754" i="4"/>
  <c r="X755" i="4"/>
  <c r="AC755" i="4"/>
  <c r="X756" i="4"/>
  <c r="AC756" i="4"/>
  <c r="X757" i="4"/>
  <c r="AC757" i="4"/>
  <c r="X758" i="4"/>
  <c r="AC758" i="4"/>
  <c r="X759" i="4"/>
  <c r="AC759" i="4"/>
  <c r="X760" i="4"/>
  <c r="AC760" i="4"/>
  <c r="X761" i="4"/>
  <c r="AC761" i="4"/>
  <c r="X762" i="4"/>
  <c r="AC762" i="4"/>
  <c r="X763" i="4"/>
  <c r="AC763" i="4"/>
  <c r="X764" i="4"/>
  <c r="AC764" i="4"/>
  <c r="X765" i="4"/>
  <c r="AC765" i="4"/>
  <c r="X766" i="4"/>
  <c r="AC766" i="4"/>
  <c r="X767" i="4"/>
  <c r="AC767" i="4"/>
  <c r="X768" i="4"/>
  <c r="AC768" i="4"/>
  <c r="X769" i="4"/>
  <c r="AC769" i="4"/>
  <c r="X770" i="4"/>
  <c r="AC770" i="4"/>
  <c r="X771" i="4"/>
  <c r="AC771" i="4"/>
  <c r="X772" i="4"/>
  <c r="AC772" i="4"/>
  <c r="X773" i="4"/>
  <c r="AC773" i="4"/>
  <c r="X774" i="4"/>
  <c r="AC774" i="4"/>
  <c r="X775" i="4"/>
  <c r="AC775" i="4"/>
  <c r="X776" i="4"/>
  <c r="AC776" i="4"/>
  <c r="X777" i="4"/>
  <c r="AC777" i="4"/>
  <c r="X778" i="4"/>
  <c r="AC778" i="4"/>
  <c r="X779" i="4"/>
  <c r="AC779" i="4"/>
  <c r="X780" i="4"/>
  <c r="AC780" i="4"/>
  <c r="X781" i="4"/>
  <c r="AC781" i="4"/>
  <c r="X782" i="4"/>
  <c r="AC782" i="4"/>
  <c r="X783" i="4"/>
  <c r="AC783" i="4"/>
  <c r="X784" i="4"/>
  <c r="AC784" i="4"/>
  <c r="X785" i="4"/>
  <c r="AC785" i="4"/>
  <c r="X786" i="4"/>
  <c r="AC786" i="4"/>
  <c r="X787" i="4"/>
  <c r="AC787" i="4"/>
  <c r="X788" i="4"/>
  <c r="AC788" i="4"/>
  <c r="X789" i="4"/>
  <c r="AC789" i="4"/>
  <c r="X790" i="4"/>
  <c r="AC790" i="4"/>
  <c r="X791" i="4"/>
  <c r="AC791" i="4"/>
  <c r="X792" i="4"/>
  <c r="AC792" i="4"/>
  <c r="X793" i="4"/>
  <c r="AC793" i="4"/>
  <c r="X794" i="4"/>
  <c r="AC794" i="4"/>
  <c r="X795" i="4"/>
  <c r="AC795" i="4"/>
  <c r="X796" i="4"/>
  <c r="AC796" i="4"/>
  <c r="X797" i="4"/>
  <c r="AC797" i="4"/>
  <c r="X798" i="4"/>
  <c r="AC798" i="4"/>
  <c r="X799" i="4"/>
  <c r="AC799" i="4"/>
  <c r="X800" i="4"/>
  <c r="AC800" i="4"/>
  <c r="X801" i="4"/>
  <c r="AC801" i="4"/>
  <c r="X802" i="4"/>
  <c r="AC802" i="4"/>
  <c r="X803" i="4"/>
  <c r="AC803" i="4"/>
  <c r="X804" i="4"/>
  <c r="AC804" i="4"/>
  <c r="X805" i="4"/>
  <c r="AC805" i="4"/>
  <c r="X806" i="4"/>
  <c r="AC806" i="4"/>
  <c r="X807" i="4"/>
  <c r="AC807" i="4"/>
  <c r="X808" i="4"/>
  <c r="AC808" i="4"/>
  <c r="X809" i="4"/>
  <c r="AC809" i="4"/>
  <c r="X810" i="4"/>
  <c r="AC810" i="4"/>
  <c r="X811" i="4"/>
  <c r="AC811" i="4"/>
  <c r="X812" i="4"/>
  <c r="AC812" i="4"/>
  <c r="X813" i="4"/>
  <c r="AC813" i="4"/>
  <c r="X814" i="4"/>
  <c r="AC814" i="4"/>
  <c r="X815" i="4"/>
  <c r="AC815" i="4"/>
  <c r="X816" i="4"/>
  <c r="AC816" i="4"/>
  <c r="X817" i="4"/>
  <c r="AC817" i="4"/>
  <c r="X818" i="4"/>
  <c r="AC818" i="4"/>
  <c r="X819" i="4"/>
  <c r="AC819" i="4"/>
  <c r="X820" i="4"/>
  <c r="AC820" i="4"/>
  <c r="X821" i="4"/>
  <c r="AC821" i="4"/>
  <c r="X822" i="4"/>
  <c r="AC822" i="4"/>
  <c r="X823" i="4"/>
  <c r="AC823" i="4"/>
  <c r="X824" i="4"/>
  <c r="AC824" i="4"/>
  <c r="X825" i="4"/>
  <c r="AC825" i="4"/>
  <c r="X826" i="4"/>
  <c r="AC826" i="4"/>
  <c r="X827" i="4"/>
  <c r="AC827" i="4"/>
  <c r="X828" i="4"/>
  <c r="AC828" i="4"/>
  <c r="X829" i="4"/>
  <c r="AC829" i="4"/>
  <c r="X830" i="4"/>
  <c r="AC830" i="4"/>
  <c r="X831" i="4"/>
  <c r="AC831" i="4"/>
  <c r="X832" i="4"/>
  <c r="AC832" i="4"/>
  <c r="X833" i="4"/>
  <c r="AC833" i="4"/>
  <c r="X834" i="4"/>
  <c r="AC834" i="4"/>
  <c r="X835" i="4"/>
  <c r="AC835" i="4"/>
  <c r="X836" i="4"/>
  <c r="AC836" i="4"/>
  <c r="X837" i="4"/>
  <c r="AC837" i="4"/>
  <c r="X838" i="4"/>
  <c r="AC838" i="4"/>
  <c r="X839" i="4"/>
  <c r="AC839" i="4"/>
  <c r="X840" i="4"/>
  <c r="AC840" i="4"/>
  <c r="X841" i="4"/>
  <c r="AC841" i="4"/>
  <c r="X842" i="4"/>
  <c r="AC842" i="4"/>
  <c r="X843" i="4"/>
  <c r="AC843" i="4"/>
  <c r="X844" i="4"/>
  <c r="AC844" i="4"/>
  <c r="X845" i="4"/>
  <c r="AC845" i="4"/>
  <c r="X846" i="4"/>
  <c r="AC846" i="4"/>
  <c r="X847" i="4"/>
  <c r="AC847" i="4"/>
  <c r="X848" i="4"/>
  <c r="AC848" i="4"/>
  <c r="X849" i="4"/>
  <c r="AC849" i="4"/>
  <c r="X850" i="4"/>
  <c r="AC850" i="4"/>
  <c r="X851" i="4"/>
  <c r="AC851" i="4"/>
  <c r="X852" i="4"/>
  <c r="AC852" i="4"/>
  <c r="X853" i="4"/>
  <c r="AC853" i="4"/>
  <c r="X854" i="4"/>
  <c r="AC854" i="4"/>
  <c r="X855" i="4"/>
  <c r="AC855" i="4"/>
  <c r="X856" i="4"/>
  <c r="AC856" i="4"/>
  <c r="X857" i="4"/>
  <c r="AC857" i="4"/>
  <c r="X858" i="4"/>
  <c r="AC858" i="4"/>
  <c r="X859" i="4"/>
  <c r="AC859" i="4"/>
  <c r="X860" i="4"/>
  <c r="AC860" i="4"/>
  <c r="X861" i="4"/>
  <c r="AC861" i="4"/>
  <c r="X862" i="4"/>
  <c r="AC862" i="4"/>
  <c r="X863" i="4"/>
  <c r="AC863" i="4"/>
  <c r="X864" i="4"/>
  <c r="AC864" i="4"/>
  <c r="X865" i="4"/>
  <c r="AC865" i="4"/>
  <c r="X866" i="4"/>
  <c r="AC866" i="4"/>
  <c r="X867" i="4"/>
  <c r="AC867" i="4"/>
  <c r="X868" i="4"/>
  <c r="AC868" i="4"/>
  <c r="X869" i="4"/>
  <c r="AC869" i="4"/>
  <c r="X870" i="4"/>
  <c r="AC870" i="4"/>
  <c r="X871" i="4"/>
  <c r="AC871" i="4"/>
  <c r="X872" i="4"/>
  <c r="AC872" i="4"/>
  <c r="X873" i="4"/>
  <c r="AC873" i="4"/>
  <c r="X874" i="4"/>
  <c r="AC874" i="4"/>
  <c r="X875" i="4"/>
  <c r="AC875" i="4"/>
  <c r="X876" i="4"/>
  <c r="AC876" i="4"/>
  <c r="X877" i="4"/>
  <c r="AC877" i="4"/>
  <c r="X878" i="4"/>
  <c r="AC878" i="4"/>
  <c r="X879" i="4"/>
  <c r="AC879" i="4"/>
  <c r="X880" i="4"/>
  <c r="AC880" i="4"/>
  <c r="X881" i="4"/>
  <c r="AC881" i="4"/>
  <c r="X882" i="4"/>
  <c r="AC882" i="4"/>
  <c r="X883" i="4"/>
  <c r="AC883" i="4"/>
  <c r="X884" i="4"/>
  <c r="AC884" i="4"/>
  <c r="X885" i="4"/>
  <c r="AC885" i="4"/>
  <c r="X886" i="4"/>
  <c r="AC886" i="4"/>
  <c r="X887" i="4"/>
  <c r="AC887" i="4"/>
  <c r="X888" i="4"/>
  <c r="AC888" i="4"/>
  <c r="X889" i="4"/>
  <c r="AC889" i="4"/>
  <c r="X890" i="4"/>
  <c r="AC890" i="4"/>
  <c r="X891" i="4"/>
  <c r="AC891" i="4"/>
  <c r="X892" i="4"/>
  <c r="AC892" i="4"/>
  <c r="X893" i="4"/>
  <c r="AC893" i="4"/>
  <c r="X894" i="4"/>
  <c r="AC894" i="4"/>
  <c r="X895" i="4"/>
  <c r="AC895" i="4"/>
  <c r="X896" i="4"/>
  <c r="AC896" i="4"/>
  <c r="X897" i="4"/>
  <c r="AC897" i="4"/>
  <c r="X898" i="4"/>
  <c r="AC898" i="4"/>
  <c r="X899" i="4"/>
  <c r="AC899" i="4"/>
  <c r="X900" i="4"/>
  <c r="AC900" i="4"/>
  <c r="X901" i="4"/>
  <c r="AC901" i="4"/>
  <c r="X902" i="4"/>
  <c r="AC902" i="4"/>
  <c r="X903" i="4"/>
  <c r="AC903" i="4"/>
  <c r="X904" i="4"/>
  <c r="AC904" i="4"/>
  <c r="X905" i="4"/>
  <c r="AC905" i="4"/>
  <c r="X906" i="4"/>
  <c r="AC906" i="4"/>
  <c r="X907" i="4"/>
  <c r="AC907" i="4"/>
  <c r="X908" i="4"/>
  <c r="AC908" i="4"/>
  <c r="X909" i="4"/>
  <c r="AC909" i="4"/>
  <c r="X910" i="4"/>
  <c r="AC910" i="4"/>
  <c r="X911" i="4"/>
  <c r="AC911" i="4"/>
  <c r="X912" i="4"/>
  <c r="AC912" i="4"/>
  <c r="X913" i="4"/>
  <c r="AC913" i="4"/>
  <c r="X914" i="4"/>
  <c r="AC914" i="4"/>
  <c r="X915" i="4"/>
  <c r="AC915" i="4"/>
  <c r="X916" i="4"/>
  <c r="AC916" i="4"/>
  <c r="X917" i="4"/>
  <c r="AC917" i="4"/>
  <c r="X918" i="4"/>
  <c r="AC918" i="4"/>
  <c r="X919" i="4"/>
  <c r="AC919" i="4"/>
  <c r="X920" i="4"/>
  <c r="AC920" i="4"/>
  <c r="X921" i="4"/>
  <c r="AC921" i="4"/>
  <c r="X922" i="4"/>
  <c r="AC922" i="4"/>
  <c r="X923" i="4"/>
  <c r="AC923" i="4"/>
  <c r="X924" i="4"/>
  <c r="AC924" i="4"/>
  <c r="X925" i="4"/>
  <c r="AC925" i="4"/>
  <c r="X926" i="4"/>
  <c r="AC926" i="4"/>
  <c r="X927" i="4"/>
  <c r="AC927" i="4"/>
  <c r="X928" i="4"/>
  <c r="AC928" i="4"/>
  <c r="X929" i="4"/>
  <c r="AC929" i="4"/>
  <c r="X930" i="4"/>
  <c r="AC930" i="4"/>
  <c r="X931" i="4"/>
  <c r="AC931" i="4"/>
  <c r="X932" i="4"/>
  <c r="AC932" i="4"/>
  <c r="X933" i="4"/>
  <c r="AC933" i="4"/>
  <c r="X934" i="4"/>
  <c r="AC934" i="4"/>
  <c r="X935" i="4"/>
  <c r="AC935" i="4"/>
  <c r="X936" i="4"/>
  <c r="AC936" i="4"/>
  <c r="X937" i="4"/>
  <c r="AC937" i="4"/>
  <c r="X938" i="4"/>
  <c r="AC938" i="4"/>
  <c r="X939" i="4"/>
  <c r="AC939" i="4"/>
  <c r="X940" i="4"/>
  <c r="AC940" i="4"/>
  <c r="X941" i="4"/>
  <c r="AC941" i="4"/>
  <c r="X942" i="4"/>
  <c r="AC942" i="4"/>
  <c r="X943" i="4"/>
  <c r="AC943" i="4"/>
  <c r="X944" i="4"/>
  <c r="AC944" i="4"/>
  <c r="X945" i="4"/>
  <c r="AC945" i="4"/>
  <c r="X946" i="4"/>
  <c r="AC946" i="4"/>
  <c r="X947" i="4"/>
  <c r="AC947" i="4"/>
  <c r="X948" i="4"/>
  <c r="AC948" i="4"/>
  <c r="X949" i="4"/>
  <c r="AC949" i="4"/>
  <c r="X950" i="4"/>
  <c r="AC950" i="4"/>
  <c r="X951" i="4"/>
  <c r="AC951" i="4"/>
  <c r="X952" i="4"/>
  <c r="AC952" i="4"/>
  <c r="X953" i="4"/>
  <c r="AC953" i="4"/>
  <c r="X954" i="4"/>
  <c r="AC954" i="4"/>
  <c r="X955" i="4"/>
  <c r="AC955" i="4"/>
  <c r="X956" i="4"/>
  <c r="AC956" i="4"/>
  <c r="X957" i="4"/>
  <c r="AC957" i="4"/>
  <c r="X958" i="4"/>
  <c r="AC958" i="4"/>
  <c r="X959" i="4"/>
  <c r="AC959" i="4"/>
  <c r="X960" i="4"/>
  <c r="AC960" i="4"/>
  <c r="X961" i="4"/>
  <c r="AC961" i="4"/>
  <c r="X962" i="4"/>
  <c r="AC962" i="4"/>
  <c r="X963" i="4"/>
  <c r="AC963" i="4"/>
  <c r="X964" i="4"/>
  <c r="AC964" i="4"/>
  <c r="X965" i="4"/>
  <c r="AC965" i="4"/>
  <c r="X966" i="4"/>
  <c r="AC966" i="4"/>
  <c r="X967" i="4"/>
  <c r="AC967" i="4"/>
  <c r="X968" i="4"/>
  <c r="AC968" i="4"/>
  <c r="X969" i="4"/>
  <c r="AC969" i="4"/>
  <c r="X970" i="4"/>
  <c r="AC970" i="4"/>
  <c r="X971" i="4"/>
  <c r="AC971" i="4"/>
  <c r="X972" i="4"/>
  <c r="AC972" i="4"/>
  <c r="X973" i="4"/>
  <c r="AC973" i="4"/>
  <c r="X974" i="4"/>
  <c r="AC974" i="4"/>
  <c r="X975" i="4"/>
  <c r="AC975" i="4"/>
  <c r="X976" i="4"/>
  <c r="AC976" i="4"/>
  <c r="X977" i="4"/>
  <c r="AC977" i="4"/>
  <c r="X978" i="4"/>
  <c r="AC978" i="4"/>
  <c r="X979" i="4"/>
  <c r="AC979" i="4"/>
  <c r="X980" i="4"/>
  <c r="AC980" i="4"/>
  <c r="X981" i="4"/>
  <c r="AC981" i="4"/>
  <c r="X982" i="4"/>
  <c r="AC982" i="4"/>
  <c r="X983" i="4"/>
  <c r="AC983" i="4"/>
  <c r="X984" i="4"/>
  <c r="AC984" i="4"/>
  <c r="X985" i="4"/>
  <c r="AC985" i="4"/>
  <c r="X986" i="4"/>
  <c r="AC986" i="4"/>
  <c r="X987" i="4"/>
  <c r="AC987" i="4"/>
  <c r="X988" i="4"/>
  <c r="AC988" i="4"/>
  <c r="X989" i="4"/>
  <c r="AC989" i="4"/>
  <c r="X990" i="4"/>
  <c r="AC990" i="4"/>
  <c r="X991" i="4"/>
  <c r="AC991" i="4"/>
  <c r="X992" i="4"/>
  <c r="AC992" i="4"/>
  <c r="X993" i="4"/>
  <c r="AC993" i="4"/>
  <c r="X994" i="4"/>
  <c r="AC994" i="4"/>
  <c r="X995" i="4"/>
  <c r="AC995" i="4"/>
  <c r="X996" i="4"/>
  <c r="AC996" i="4"/>
  <c r="X997" i="4"/>
  <c r="AC997" i="4"/>
  <c r="X998" i="4"/>
  <c r="AC998" i="4"/>
  <c r="X999" i="4"/>
  <c r="AC999" i="4"/>
  <c r="X1000" i="4"/>
  <c r="AC1000" i="4"/>
  <c r="X1001" i="4"/>
  <c r="AC1001" i="4"/>
  <c r="X1002" i="4"/>
  <c r="AC1002" i="4"/>
  <c r="X1003" i="4"/>
  <c r="AC1003" i="4"/>
  <c r="X1004" i="4"/>
  <c r="AC1004" i="4"/>
  <c r="X1005" i="4"/>
  <c r="AC1005" i="4"/>
  <c r="X1006" i="4"/>
  <c r="AC1006" i="4"/>
  <c r="X1007" i="4"/>
  <c r="AC1007" i="4"/>
  <c r="X1008" i="4"/>
  <c r="AC1008" i="4"/>
  <c r="X1009" i="4"/>
  <c r="AC1009" i="4"/>
  <c r="X1010" i="4"/>
  <c r="AC1010" i="4"/>
  <c r="X1011" i="4"/>
  <c r="AC1011" i="4"/>
  <c r="X1012" i="4"/>
  <c r="AC1012" i="4"/>
  <c r="X1013" i="4"/>
  <c r="AC1013" i="4"/>
  <c r="X1014" i="4"/>
  <c r="AC1014" i="4"/>
  <c r="X1015" i="4"/>
  <c r="AC1015" i="4"/>
  <c r="X1016" i="4"/>
  <c r="AC1016" i="4"/>
  <c r="X1017" i="4"/>
  <c r="AC1017" i="4"/>
  <c r="X1018" i="4"/>
  <c r="AC1018" i="4"/>
  <c r="X1019" i="4"/>
  <c r="AC1019" i="4"/>
  <c r="X1020" i="4"/>
  <c r="AC1020" i="4"/>
  <c r="X1021" i="4"/>
  <c r="AC1021" i="4"/>
  <c r="X1022" i="4"/>
  <c r="AC1022" i="4"/>
  <c r="X1023" i="4"/>
  <c r="AC1023" i="4"/>
  <c r="X1024" i="4"/>
  <c r="AC1024" i="4"/>
  <c r="X1025" i="4"/>
  <c r="AC1025" i="4"/>
  <c r="X1026" i="4"/>
  <c r="AC1026" i="4"/>
  <c r="X1027" i="4"/>
  <c r="AC1027" i="4"/>
  <c r="X1028" i="4"/>
  <c r="AC1028" i="4"/>
  <c r="X1029" i="4"/>
  <c r="AC1029" i="4"/>
  <c r="X1030" i="4"/>
  <c r="AC1030" i="4"/>
  <c r="X1031" i="4"/>
  <c r="AC1031" i="4"/>
  <c r="X1032" i="4"/>
  <c r="AC1032" i="4"/>
  <c r="X1033" i="4"/>
  <c r="AC1033" i="4"/>
  <c r="X1034" i="4"/>
  <c r="AC1034" i="4"/>
  <c r="X1035" i="4"/>
  <c r="AC1035" i="4"/>
  <c r="X1036" i="4"/>
  <c r="AC1036" i="4"/>
  <c r="X1037" i="4"/>
  <c r="AC1037" i="4"/>
  <c r="X1038" i="4"/>
  <c r="AC1038" i="4"/>
  <c r="X1039" i="4"/>
  <c r="AC1039" i="4"/>
  <c r="X1040" i="4"/>
  <c r="AC1040" i="4"/>
  <c r="X1041" i="4"/>
  <c r="AC1041" i="4"/>
  <c r="X1042" i="4"/>
  <c r="AC1042" i="4"/>
  <c r="X1043" i="4"/>
  <c r="AC1043" i="4"/>
  <c r="X1044" i="4"/>
  <c r="AC1044" i="4"/>
  <c r="X1045" i="4"/>
  <c r="AC1045" i="4"/>
  <c r="X1046" i="4"/>
  <c r="AC1046" i="4"/>
  <c r="X1047" i="4"/>
  <c r="AC1047" i="4"/>
  <c r="X1048" i="4"/>
  <c r="AC1048" i="4"/>
  <c r="X1049" i="4"/>
  <c r="AC1049" i="4"/>
  <c r="X1050" i="4"/>
  <c r="AC1050" i="4"/>
  <c r="X1051" i="4"/>
  <c r="AC1051" i="4"/>
  <c r="X1052" i="4"/>
  <c r="AC1052" i="4"/>
  <c r="X1053" i="4"/>
  <c r="AC1053" i="4"/>
  <c r="X1054" i="4"/>
  <c r="AC1054" i="4"/>
  <c r="X1055" i="4"/>
  <c r="AC1055" i="4"/>
  <c r="X1056" i="4"/>
  <c r="AC1056" i="4"/>
  <c r="X1057" i="4"/>
  <c r="AC1057" i="4"/>
  <c r="X1058" i="4"/>
  <c r="AC1058" i="4"/>
  <c r="X1059" i="4"/>
  <c r="AC1059" i="4"/>
  <c r="X1060" i="4"/>
  <c r="AC1060" i="4"/>
  <c r="X1061" i="4"/>
  <c r="AC1061" i="4"/>
  <c r="X1062" i="4"/>
  <c r="AC1062" i="4"/>
  <c r="X1063" i="4"/>
  <c r="AC1063" i="4"/>
  <c r="X1064" i="4"/>
  <c r="AC1064" i="4"/>
  <c r="X1065" i="4"/>
  <c r="AC1065" i="4"/>
  <c r="X1066" i="4"/>
  <c r="AC1066" i="4"/>
  <c r="X1067" i="4"/>
  <c r="AC1067" i="4"/>
  <c r="X1068" i="4"/>
  <c r="AC1068" i="4"/>
  <c r="X1069" i="4"/>
  <c r="AC1069" i="4"/>
  <c r="X1070" i="4"/>
  <c r="AC1070" i="4"/>
  <c r="X1071" i="4"/>
  <c r="AC1071" i="4"/>
  <c r="X1072" i="4"/>
  <c r="AC1072" i="4"/>
  <c r="X1073" i="4"/>
  <c r="AC1073" i="4"/>
  <c r="X1074" i="4"/>
  <c r="AC1074" i="4"/>
  <c r="X1075" i="4"/>
  <c r="AC1075" i="4"/>
  <c r="X1076" i="4"/>
  <c r="AC1076" i="4"/>
  <c r="X1077" i="4"/>
  <c r="AC1077" i="4"/>
  <c r="X1078" i="4"/>
  <c r="AC1078" i="4"/>
  <c r="X1079" i="4"/>
  <c r="AC1079" i="4"/>
  <c r="X1080" i="4"/>
  <c r="AC1080" i="4"/>
  <c r="X1081" i="4"/>
  <c r="AC1081" i="4"/>
  <c r="X1082" i="4"/>
  <c r="AC1082" i="4"/>
  <c r="X1083" i="4"/>
  <c r="AC1083" i="4"/>
  <c r="X1084" i="4"/>
  <c r="AC1084" i="4"/>
  <c r="X1085" i="4"/>
  <c r="AC1085" i="4"/>
  <c r="X1086" i="4"/>
  <c r="AC1086" i="4"/>
  <c r="X1087" i="4"/>
  <c r="AC1087" i="4"/>
  <c r="X1088" i="4"/>
  <c r="AC1088" i="4"/>
  <c r="X1089" i="4"/>
  <c r="AC1089" i="4"/>
  <c r="X1090" i="4"/>
  <c r="AC1090" i="4"/>
  <c r="X1091" i="4"/>
  <c r="AC1091" i="4"/>
  <c r="X1092" i="4"/>
  <c r="AC1092" i="4"/>
  <c r="X1093" i="4"/>
  <c r="AC1093" i="4"/>
  <c r="X1094" i="4"/>
  <c r="AC1094" i="4"/>
  <c r="X1095" i="4"/>
  <c r="AC1095" i="4"/>
  <c r="X1096" i="4"/>
  <c r="AC1096" i="4"/>
  <c r="X1097" i="4"/>
  <c r="AC1097" i="4"/>
  <c r="X1098" i="4"/>
  <c r="AC1098" i="4"/>
  <c r="X1099" i="4"/>
  <c r="AC1099" i="4"/>
  <c r="X1100" i="4"/>
  <c r="AC1100" i="4"/>
  <c r="X1101" i="4"/>
  <c r="AC1101" i="4"/>
  <c r="X1102" i="4"/>
  <c r="AC1102" i="4"/>
  <c r="X1103" i="4"/>
  <c r="AC1103" i="4"/>
  <c r="X1104" i="4"/>
  <c r="AC1104" i="4"/>
  <c r="X1105" i="4"/>
  <c r="AC1105" i="4"/>
  <c r="X1106" i="4"/>
  <c r="AC1106" i="4"/>
  <c r="X1107" i="4"/>
  <c r="AC1107" i="4"/>
  <c r="X1108" i="4"/>
  <c r="AC1108" i="4"/>
  <c r="X1109" i="4"/>
  <c r="AC1109" i="4"/>
  <c r="X1110" i="4"/>
  <c r="AC1110" i="4"/>
  <c r="X1111" i="4"/>
  <c r="AC1111" i="4"/>
  <c r="X1112" i="4"/>
  <c r="AC1112" i="4"/>
  <c r="X1113" i="4"/>
  <c r="AC1113" i="4"/>
  <c r="X1114" i="4"/>
  <c r="AC1114" i="4"/>
  <c r="X1115" i="4"/>
  <c r="AC1115" i="4"/>
  <c r="X1116" i="4"/>
  <c r="AC1116" i="4"/>
  <c r="X1117" i="4"/>
  <c r="AC1117" i="4"/>
  <c r="X1118" i="4"/>
  <c r="AC1118" i="4"/>
  <c r="X1119" i="4"/>
  <c r="AC1119" i="4"/>
  <c r="X1120" i="4"/>
  <c r="AC1120" i="4"/>
  <c r="X1121" i="4"/>
  <c r="AC1121" i="4"/>
  <c r="X1122" i="4"/>
  <c r="AC1122" i="4"/>
  <c r="X1123" i="4"/>
  <c r="AC1123" i="4"/>
  <c r="X1124" i="4"/>
  <c r="AC1124" i="4"/>
  <c r="X1125" i="4"/>
  <c r="AC1125" i="4"/>
  <c r="X1126" i="4"/>
  <c r="AC1126" i="4"/>
  <c r="X1127" i="4"/>
  <c r="AC1127" i="4"/>
  <c r="X1128" i="4"/>
  <c r="AC1128" i="4"/>
  <c r="X1129" i="4"/>
  <c r="AC1129" i="4"/>
  <c r="X1130" i="4"/>
  <c r="AC1130" i="4"/>
  <c r="X1131" i="4"/>
  <c r="AC1131" i="4"/>
  <c r="X1132" i="4"/>
  <c r="AC1132" i="4"/>
  <c r="X1133" i="4"/>
  <c r="AC1133" i="4"/>
  <c r="X1134" i="4"/>
  <c r="AC1134" i="4"/>
  <c r="X1135" i="4"/>
  <c r="AC1135" i="4"/>
  <c r="X1136" i="4"/>
  <c r="AC1136" i="4"/>
  <c r="X1137" i="4"/>
  <c r="AC1137" i="4"/>
  <c r="X1138" i="4"/>
  <c r="AC1138" i="4"/>
  <c r="X1139" i="4"/>
  <c r="AC1139" i="4"/>
  <c r="X1140" i="4"/>
  <c r="AC1140" i="4"/>
  <c r="X1141" i="4"/>
  <c r="AC1141" i="4"/>
  <c r="X1142" i="4"/>
  <c r="AC1142" i="4"/>
  <c r="X1143" i="4"/>
  <c r="AC1143" i="4"/>
  <c r="X1144" i="4"/>
  <c r="AC1144" i="4"/>
  <c r="X1145" i="4"/>
  <c r="AC1145" i="4"/>
  <c r="X1146" i="4"/>
  <c r="AC1146" i="4"/>
  <c r="X1147" i="4"/>
  <c r="AC1147" i="4"/>
  <c r="X1148" i="4"/>
  <c r="AC1148" i="4"/>
  <c r="X1149" i="4"/>
  <c r="AC1149" i="4"/>
  <c r="X1150" i="4"/>
  <c r="AC1150" i="4"/>
  <c r="X1151" i="4"/>
  <c r="AC1151" i="4"/>
  <c r="X1152" i="4"/>
  <c r="AC1152" i="4"/>
  <c r="X1153" i="4"/>
  <c r="AC1153" i="4"/>
  <c r="X1154" i="4"/>
  <c r="AC1154" i="4"/>
  <c r="X1155" i="4"/>
  <c r="AC1155" i="4"/>
  <c r="X1156" i="4"/>
  <c r="AC1156" i="4"/>
  <c r="X1157" i="4"/>
  <c r="AC1157" i="4"/>
  <c r="X1158" i="4"/>
  <c r="AC1158" i="4"/>
  <c r="X1159" i="4"/>
  <c r="AC1159" i="4"/>
  <c r="X1160" i="4"/>
  <c r="AC1160" i="4"/>
  <c r="X1161" i="4"/>
  <c r="AC1161" i="4"/>
  <c r="X1162" i="4"/>
  <c r="AC1162" i="4"/>
  <c r="X1163" i="4"/>
  <c r="AC1163" i="4"/>
  <c r="X1164" i="4"/>
  <c r="AC1164" i="4"/>
  <c r="X1165" i="4"/>
  <c r="AC1165" i="4"/>
  <c r="X1166" i="4"/>
  <c r="AC1166" i="4"/>
  <c r="X1167" i="4"/>
  <c r="AC1167" i="4"/>
  <c r="X1168" i="4"/>
  <c r="AC1168" i="4"/>
  <c r="X1169" i="4"/>
  <c r="AC1169" i="4"/>
  <c r="X1170" i="4"/>
  <c r="AC1170" i="4"/>
  <c r="X1171" i="4"/>
  <c r="AC1171" i="4"/>
  <c r="X1172" i="4"/>
  <c r="AC1172" i="4"/>
  <c r="X1173" i="4"/>
  <c r="AC1173" i="4"/>
  <c r="X1174" i="4"/>
  <c r="AC1174" i="4"/>
  <c r="X1175" i="4"/>
  <c r="AC1175" i="4"/>
  <c r="X1176" i="4"/>
  <c r="AC1176" i="4"/>
  <c r="X1177" i="4"/>
  <c r="AC1177" i="4"/>
  <c r="X1178" i="4"/>
  <c r="AC1178" i="4"/>
  <c r="X1179" i="4"/>
  <c r="AC1179" i="4"/>
  <c r="X1180" i="4"/>
  <c r="AC1180" i="4"/>
  <c r="X1181" i="4"/>
  <c r="AC1181" i="4"/>
  <c r="X1182" i="4"/>
  <c r="AC1182" i="4"/>
  <c r="X1183" i="4"/>
  <c r="AC1183" i="4"/>
  <c r="X1184" i="4"/>
  <c r="AC1184" i="4"/>
  <c r="X1185" i="4"/>
  <c r="AC1185" i="4"/>
  <c r="X1186" i="4"/>
  <c r="AC1186" i="4"/>
  <c r="X1187" i="4"/>
  <c r="AC1187" i="4"/>
  <c r="X1188" i="4"/>
  <c r="AC1188" i="4"/>
  <c r="X1189" i="4"/>
  <c r="AC1189" i="4"/>
  <c r="X1190" i="4"/>
  <c r="AC1190" i="4"/>
  <c r="X1191" i="4"/>
  <c r="AC1191" i="4"/>
  <c r="X1192" i="4"/>
  <c r="AC1192" i="4"/>
  <c r="X1193" i="4"/>
  <c r="AC1193" i="4"/>
  <c r="X1194" i="4"/>
  <c r="AC1194" i="4"/>
  <c r="X1195" i="4"/>
  <c r="AC1195" i="4"/>
  <c r="X1196" i="4"/>
  <c r="AC1196" i="4"/>
  <c r="X1197" i="4"/>
  <c r="AC1197" i="4"/>
  <c r="X1198" i="4"/>
  <c r="AC1198" i="4"/>
  <c r="X1199" i="4"/>
  <c r="AC1199" i="4"/>
  <c r="X1200" i="4"/>
  <c r="AC1200" i="4"/>
  <c r="X1201" i="4"/>
  <c r="AC1201" i="4"/>
  <c r="X1202" i="4"/>
  <c r="AC1202" i="4"/>
  <c r="X1203" i="4"/>
  <c r="AC1203" i="4"/>
  <c r="X1204" i="4"/>
  <c r="AC1204" i="4"/>
  <c r="X1205" i="4"/>
  <c r="AC1205" i="4"/>
  <c r="X1206" i="4"/>
  <c r="AC1206" i="4"/>
  <c r="X1207" i="4"/>
  <c r="AC1207" i="4"/>
  <c r="X1208" i="4"/>
  <c r="AC1208" i="4"/>
  <c r="X1209" i="4"/>
  <c r="AC1209" i="4"/>
  <c r="X1210" i="4"/>
  <c r="AC1210" i="4"/>
  <c r="X1211" i="4"/>
  <c r="AC1211" i="4"/>
  <c r="X1212" i="4"/>
  <c r="AC1212" i="4"/>
  <c r="X1213" i="4"/>
  <c r="AC1213" i="4"/>
  <c r="X1214" i="4"/>
  <c r="AC1214" i="4"/>
  <c r="X1215" i="4"/>
  <c r="AC1215" i="4"/>
  <c r="X1216" i="4"/>
  <c r="AC1216" i="4"/>
  <c r="X1217" i="4"/>
  <c r="AC1217" i="4"/>
  <c r="X1218" i="4"/>
  <c r="AC1218" i="4"/>
  <c r="X1219" i="4"/>
  <c r="AC1219" i="4"/>
  <c r="X1220" i="4"/>
  <c r="AC1220" i="4"/>
  <c r="X1221" i="4"/>
  <c r="AC1221" i="4"/>
  <c r="X1222" i="4"/>
  <c r="AC1222" i="4"/>
  <c r="X1223" i="4"/>
  <c r="AC1223" i="4"/>
  <c r="X1224" i="4"/>
  <c r="AC1224" i="4"/>
  <c r="X1225" i="4"/>
  <c r="AC1225" i="4"/>
  <c r="X1226" i="4"/>
  <c r="AC1226" i="4"/>
  <c r="X1227" i="4"/>
  <c r="AC1227" i="4"/>
  <c r="X1228" i="4"/>
  <c r="AC1228" i="4"/>
  <c r="X1229" i="4"/>
  <c r="AC1229" i="4"/>
  <c r="X1230" i="4"/>
  <c r="AC1230" i="4"/>
  <c r="X1231" i="4"/>
  <c r="AC1231" i="4"/>
  <c r="X1232" i="4"/>
  <c r="AC1232" i="4"/>
  <c r="X1233" i="4"/>
  <c r="AC1233" i="4"/>
  <c r="X1234" i="4"/>
  <c r="AC1234" i="4"/>
  <c r="X1235" i="4"/>
  <c r="AC1235" i="4"/>
  <c r="X1236" i="4"/>
  <c r="AC1236" i="4"/>
  <c r="X1237" i="4"/>
  <c r="AC1237" i="4"/>
  <c r="X1238" i="4"/>
  <c r="AC1238" i="4"/>
  <c r="X1239" i="4"/>
  <c r="AC1239" i="4"/>
  <c r="X1240" i="4"/>
  <c r="AC1240" i="4"/>
  <c r="X1241" i="4"/>
  <c r="AC1241" i="4"/>
  <c r="X1242" i="4"/>
  <c r="AC1242" i="4"/>
  <c r="X1243" i="4"/>
  <c r="AC1243" i="4"/>
  <c r="X1244" i="4"/>
  <c r="AC1244" i="4"/>
  <c r="X1245" i="4"/>
  <c r="AC1245" i="4"/>
  <c r="X1246" i="4"/>
  <c r="AC1246" i="4"/>
  <c r="X1247" i="4"/>
  <c r="AC1247" i="4"/>
  <c r="X1248" i="4"/>
  <c r="AC1248" i="4"/>
  <c r="X1249" i="4"/>
  <c r="AC1249" i="4"/>
  <c r="X1250" i="4"/>
  <c r="AC1250" i="4"/>
  <c r="X1251" i="4"/>
  <c r="AC1251" i="4"/>
  <c r="X1252" i="4"/>
  <c r="AC1252" i="4"/>
  <c r="X1253" i="4"/>
  <c r="AC1253" i="4"/>
  <c r="X1254" i="4"/>
  <c r="AC1254" i="4"/>
  <c r="X1255" i="4"/>
  <c r="AC1255" i="4"/>
  <c r="X1256" i="4"/>
  <c r="AC1256" i="4"/>
  <c r="X1257" i="4"/>
  <c r="AC1257" i="4"/>
  <c r="X1258" i="4"/>
  <c r="AC1258" i="4"/>
  <c r="X1259" i="4"/>
  <c r="AC1259" i="4"/>
  <c r="X1260" i="4"/>
  <c r="AC1260" i="4"/>
  <c r="X1261" i="4"/>
  <c r="AC1261" i="4"/>
  <c r="X1262" i="4"/>
  <c r="AC1262" i="4"/>
  <c r="X1263" i="4"/>
  <c r="AC1263" i="4"/>
  <c r="X1264" i="4"/>
  <c r="AC1264" i="4"/>
  <c r="X1265" i="4"/>
  <c r="AC1265" i="4"/>
  <c r="X1266" i="4"/>
  <c r="AC1266" i="4"/>
  <c r="X1267" i="4"/>
  <c r="AC1267" i="4"/>
  <c r="X1268" i="4"/>
  <c r="AC1268" i="4"/>
  <c r="X1269" i="4"/>
  <c r="AC1269" i="4"/>
  <c r="X1270" i="4"/>
  <c r="AC1270" i="4"/>
  <c r="X1271" i="4"/>
  <c r="AC1271" i="4"/>
  <c r="X1272" i="4"/>
  <c r="AC1272" i="4"/>
  <c r="X1273" i="4"/>
  <c r="AC1273" i="4"/>
  <c r="X1274" i="4"/>
  <c r="AC1274" i="4"/>
  <c r="X1275" i="4"/>
  <c r="AC1275" i="4"/>
  <c r="X1276" i="4"/>
  <c r="AC1276" i="4"/>
  <c r="X1277" i="4"/>
  <c r="AC1277" i="4"/>
  <c r="X1278" i="4"/>
  <c r="AC1278" i="4"/>
  <c r="X1279" i="4"/>
  <c r="AC1279" i="4"/>
  <c r="X1280" i="4"/>
  <c r="AC1280" i="4"/>
  <c r="X1281" i="4"/>
  <c r="AC1281" i="4"/>
  <c r="X1282" i="4"/>
  <c r="AC1282" i="4"/>
  <c r="X1283" i="4"/>
  <c r="AC1283" i="4"/>
  <c r="X1284" i="4"/>
  <c r="AC1284" i="4"/>
  <c r="X1285" i="4"/>
  <c r="AC1285" i="4"/>
  <c r="X1286" i="4"/>
  <c r="AC1286" i="4"/>
  <c r="X1287" i="4"/>
  <c r="AC1287" i="4"/>
  <c r="X1288" i="4"/>
  <c r="AC1288" i="4"/>
  <c r="X1289" i="4"/>
  <c r="AC1289" i="4"/>
  <c r="X1290" i="4"/>
  <c r="AC1290" i="4"/>
  <c r="X1291" i="4"/>
  <c r="AC1291" i="4"/>
  <c r="X1292" i="4"/>
  <c r="AC1292" i="4"/>
  <c r="X1293" i="4"/>
  <c r="AC1293" i="4"/>
  <c r="X1294" i="4"/>
  <c r="AC1294" i="4"/>
  <c r="X1295" i="4"/>
  <c r="AC1295" i="4"/>
  <c r="X1296" i="4"/>
  <c r="AC1296" i="4"/>
  <c r="X1297" i="4"/>
  <c r="AC1297" i="4"/>
  <c r="X1298" i="4"/>
  <c r="AC1298" i="4"/>
  <c r="X1299" i="4"/>
  <c r="AC1299" i="4"/>
  <c r="X1300" i="4"/>
  <c r="AC1300" i="4"/>
  <c r="X1301" i="4"/>
  <c r="AC1301" i="4"/>
  <c r="X1302" i="4"/>
  <c r="AC1302" i="4"/>
  <c r="X1303" i="4"/>
  <c r="AC1303" i="4"/>
  <c r="X1304" i="4"/>
  <c r="AC1304" i="4"/>
  <c r="X1305" i="4"/>
  <c r="AC1305" i="4"/>
  <c r="X1306" i="4"/>
  <c r="AC1306" i="4"/>
  <c r="X1307" i="4"/>
  <c r="AC1307" i="4"/>
  <c r="X1308" i="4"/>
  <c r="AC1308" i="4"/>
  <c r="X1309" i="4"/>
  <c r="AC1309" i="4"/>
  <c r="X1310" i="4"/>
  <c r="AC1310" i="4"/>
  <c r="X1311" i="4"/>
  <c r="AC1311" i="4"/>
  <c r="X1312" i="4"/>
  <c r="AC1312" i="4"/>
  <c r="X1313" i="4"/>
  <c r="AC1313" i="4"/>
  <c r="X1314" i="4"/>
  <c r="AC1314" i="4"/>
  <c r="X1315" i="4"/>
  <c r="AC1315" i="4"/>
  <c r="X1316" i="4"/>
  <c r="AC1316" i="4"/>
  <c r="X1317" i="4"/>
  <c r="AC1317" i="4"/>
  <c r="X1318" i="4"/>
  <c r="AC1318" i="4"/>
  <c r="X1319" i="4"/>
  <c r="AC1319" i="4"/>
  <c r="X1320" i="4"/>
  <c r="AC1320" i="4"/>
  <c r="X1321" i="4"/>
  <c r="AC1321" i="4"/>
  <c r="X1322" i="4"/>
  <c r="AC1322" i="4"/>
  <c r="X1323" i="4"/>
  <c r="AC1323" i="4"/>
  <c r="X1324" i="4"/>
  <c r="AC1324" i="4"/>
  <c r="X1325" i="4"/>
  <c r="AC1325" i="4"/>
  <c r="X1326" i="4"/>
  <c r="AC1326" i="4"/>
  <c r="X1327" i="4"/>
  <c r="AC1327" i="4"/>
  <c r="X1328" i="4"/>
  <c r="AC1328" i="4"/>
  <c r="X1329" i="4"/>
  <c r="AC1329" i="4"/>
  <c r="X1330" i="4"/>
  <c r="AC1330" i="4"/>
  <c r="X1331" i="4"/>
  <c r="AC1331" i="4"/>
  <c r="X1332" i="4"/>
  <c r="AC1332" i="4"/>
  <c r="X1333" i="4"/>
  <c r="AC1333" i="4"/>
  <c r="X1334" i="4"/>
  <c r="AC1334" i="4"/>
  <c r="X1335" i="4"/>
  <c r="AC1335" i="4"/>
  <c r="X1336" i="4"/>
  <c r="AC1336" i="4"/>
  <c r="X1337" i="4"/>
  <c r="AC1337" i="4"/>
  <c r="X1338" i="4"/>
  <c r="AC1338" i="4"/>
  <c r="X1339" i="4"/>
  <c r="AC1339" i="4"/>
  <c r="X1340" i="4"/>
  <c r="AC1340" i="4"/>
  <c r="X1341" i="4"/>
  <c r="AC1341" i="4"/>
  <c r="X1342" i="4"/>
  <c r="AC1342" i="4"/>
  <c r="X1343" i="4"/>
  <c r="AC1343" i="4"/>
  <c r="X1344" i="4"/>
  <c r="AC1344" i="4"/>
  <c r="X1345" i="4"/>
  <c r="AC1345" i="4"/>
  <c r="X1346" i="4"/>
  <c r="AC1346" i="4"/>
  <c r="X1347" i="4"/>
  <c r="AC1347" i="4"/>
  <c r="X1348" i="4"/>
  <c r="AC1348" i="4"/>
  <c r="X1349" i="4"/>
  <c r="AC1349" i="4"/>
  <c r="X1350" i="4"/>
  <c r="AC1350" i="4"/>
  <c r="X1351" i="4"/>
  <c r="AC1351" i="4"/>
  <c r="X1352" i="4"/>
  <c r="AC1352" i="4"/>
  <c r="X1353" i="4"/>
  <c r="AC1353" i="4"/>
  <c r="X1354" i="4"/>
  <c r="AC1354" i="4"/>
  <c r="X1355" i="4"/>
  <c r="AC1355" i="4"/>
  <c r="X1356" i="4"/>
  <c r="AC1356" i="4"/>
  <c r="X1357" i="4"/>
  <c r="AC1357" i="4"/>
  <c r="X1358" i="4"/>
  <c r="AC1358" i="4"/>
  <c r="X1359" i="4"/>
  <c r="AC1359" i="4"/>
  <c r="X1360" i="4"/>
  <c r="AC1360" i="4"/>
  <c r="X1361" i="4"/>
  <c r="AC1361" i="4"/>
  <c r="X1362" i="4"/>
  <c r="AC1362" i="4"/>
  <c r="X1363" i="4"/>
  <c r="AC1363" i="4"/>
  <c r="X1364" i="4"/>
  <c r="AC1364" i="4"/>
  <c r="X1365" i="4"/>
  <c r="AC1365" i="4"/>
  <c r="X1366" i="4"/>
  <c r="AC1366" i="4"/>
  <c r="X1367" i="4"/>
  <c r="AC1367" i="4"/>
  <c r="I12" i="17"/>
  <c r="J12" i="17"/>
  <c r="H12" i="17"/>
  <c r="G12" i="17"/>
  <c r="F12" i="17"/>
  <c r="E12" i="17"/>
  <c r="C12" i="17"/>
  <c r="I11" i="17"/>
  <c r="J11" i="17"/>
  <c r="H11" i="17"/>
  <c r="G11" i="17"/>
  <c r="F11" i="17"/>
  <c r="E11" i="17"/>
  <c r="C11" i="17"/>
  <c r="E18" i="17"/>
  <c r="I18" i="17"/>
  <c r="J18" i="17"/>
  <c r="H18" i="17"/>
  <c r="G18" i="17"/>
  <c r="F18" i="17"/>
  <c r="C18" i="17"/>
  <c r="E17" i="17"/>
  <c r="I17" i="17"/>
  <c r="J17" i="17"/>
  <c r="H17" i="17"/>
  <c r="G17" i="17"/>
  <c r="F17" i="17"/>
  <c r="C17" i="17"/>
  <c r="E24" i="17"/>
  <c r="I24" i="17"/>
  <c r="J24" i="17"/>
  <c r="H24" i="17"/>
  <c r="G24" i="17"/>
  <c r="F24" i="17"/>
  <c r="C24" i="17"/>
  <c r="E23" i="17"/>
  <c r="I23" i="17"/>
  <c r="J23" i="17"/>
  <c r="H23" i="17"/>
  <c r="G23" i="17"/>
  <c r="F23" i="17"/>
  <c r="C23" i="17"/>
  <c r="E30" i="17"/>
  <c r="I30" i="17"/>
  <c r="J30" i="17"/>
  <c r="H30" i="17"/>
  <c r="G30" i="17"/>
  <c r="F30" i="17"/>
  <c r="C30" i="17"/>
  <c r="E29" i="17"/>
  <c r="I29" i="17"/>
  <c r="J29" i="17"/>
  <c r="H29" i="17"/>
  <c r="G29" i="17"/>
  <c r="F29" i="17"/>
  <c r="C29" i="17"/>
  <c r="E36" i="17"/>
  <c r="I36" i="17"/>
  <c r="J36" i="17"/>
  <c r="H36" i="17"/>
  <c r="G36" i="17"/>
  <c r="F36" i="17"/>
  <c r="C36" i="17"/>
  <c r="E35" i="17"/>
  <c r="I35" i="17"/>
  <c r="J35" i="17"/>
  <c r="H35" i="17"/>
  <c r="G35" i="17"/>
  <c r="F35" i="17"/>
  <c r="C35" i="17"/>
  <c r="E42" i="17"/>
  <c r="I42" i="17"/>
  <c r="J42" i="17"/>
  <c r="H42" i="17"/>
  <c r="G42" i="17"/>
  <c r="F42" i="17"/>
  <c r="C42" i="17"/>
  <c r="E41" i="17"/>
  <c r="I41" i="17"/>
  <c r="J41" i="17"/>
  <c r="H41" i="17"/>
  <c r="G41" i="17"/>
  <c r="F41" i="17"/>
  <c r="C41" i="17"/>
  <c r="E48" i="17"/>
  <c r="I48" i="17"/>
  <c r="J48" i="17"/>
  <c r="H48" i="17"/>
  <c r="G48" i="17"/>
  <c r="F48" i="17"/>
  <c r="C48" i="17"/>
  <c r="E47" i="17"/>
  <c r="I47" i="17"/>
  <c r="J47" i="17"/>
  <c r="H47" i="17"/>
  <c r="G47" i="17"/>
  <c r="F47" i="17"/>
  <c r="C47" i="17"/>
  <c r="E54" i="17"/>
  <c r="I54" i="17"/>
  <c r="J54" i="17"/>
  <c r="H54" i="17"/>
  <c r="G54" i="17"/>
  <c r="F54" i="17"/>
  <c r="C54" i="17"/>
  <c r="E53" i="17"/>
  <c r="I53" i="17"/>
  <c r="J53" i="17"/>
  <c r="H53" i="17"/>
  <c r="G53" i="17"/>
  <c r="F53" i="17"/>
  <c r="C53" i="17"/>
  <c r="I60" i="17"/>
  <c r="E60" i="17"/>
  <c r="J60" i="17"/>
  <c r="H60" i="17"/>
  <c r="G60" i="17"/>
  <c r="F60" i="17"/>
  <c r="C60" i="17"/>
  <c r="E59" i="17"/>
  <c r="I59" i="17"/>
  <c r="J59" i="17"/>
  <c r="H59" i="17"/>
  <c r="G59" i="17"/>
  <c r="F59" i="17"/>
  <c r="C59" i="17"/>
  <c r="I66" i="17"/>
  <c r="E66" i="17"/>
  <c r="J66" i="17"/>
  <c r="H66" i="17"/>
  <c r="G66" i="17"/>
  <c r="F66" i="17"/>
  <c r="C66" i="17"/>
  <c r="E65" i="17"/>
  <c r="I65" i="17"/>
  <c r="J65" i="17"/>
  <c r="H65" i="17"/>
  <c r="G65" i="17"/>
  <c r="F65" i="17"/>
  <c r="C65" i="17"/>
  <c r="I72" i="17"/>
  <c r="E72" i="17"/>
  <c r="J72" i="17"/>
  <c r="H72" i="17"/>
  <c r="G72" i="17"/>
  <c r="F72" i="17"/>
  <c r="C72" i="17"/>
  <c r="E71" i="17"/>
  <c r="I71" i="17"/>
  <c r="J71" i="17"/>
  <c r="H71" i="17"/>
  <c r="G71" i="17"/>
  <c r="F71" i="17"/>
  <c r="C71" i="17"/>
  <c r="I78" i="17"/>
  <c r="E78" i="17"/>
  <c r="J78" i="17"/>
  <c r="H78" i="17"/>
  <c r="G78" i="17"/>
  <c r="F78" i="17"/>
  <c r="C78" i="17"/>
  <c r="E77" i="17"/>
  <c r="I77" i="17"/>
  <c r="J77" i="17"/>
  <c r="H77" i="17"/>
  <c r="G77" i="17"/>
  <c r="F77" i="17"/>
  <c r="C77" i="17"/>
  <c r="I84" i="17"/>
  <c r="E84" i="17"/>
  <c r="J84" i="17"/>
  <c r="H84" i="17"/>
  <c r="G84" i="17"/>
  <c r="F84" i="17"/>
  <c r="C84" i="17"/>
  <c r="E83" i="17"/>
  <c r="I83" i="17"/>
  <c r="J83" i="17"/>
  <c r="H83" i="17"/>
  <c r="G83" i="17"/>
  <c r="F83" i="17"/>
  <c r="C83" i="17"/>
  <c r="I90" i="17"/>
  <c r="E90" i="17"/>
  <c r="J90" i="17"/>
  <c r="H90" i="17"/>
  <c r="G90" i="17"/>
  <c r="F90" i="17"/>
  <c r="C90" i="17"/>
  <c r="I89" i="17"/>
  <c r="E89" i="17"/>
  <c r="J89" i="17"/>
  <c r="H89" i="17"/>
  <c r="G89" i="17"/>
  <c r="F89" i="17"/>
  <c r="C89" i="17"/>
  <c r="I96" i="17"/>
  <c r="E96" i="17"/>
  <c r="J96" i="17"/>
  <c r="H96" i="17"/>
  <c r="G96" i="17"/>
  <c r="F96" i="17"/>
  <c r="C96" i="17"/>
  <c r="I95" i="17"/>
  <c r="E95" i="17"/>
  <c r="J95" i="17"/>
  <c r="H95" i="17"/>
  <c r="G95" i="17"/>
  <c r="F95" i="17"/>
  <c r="C95" i="17"/>
  <c r="I102" i="17"/>
  <c r="E102" i="17"/>
  <c r="J102" i="17"/>
  <c r="H102" i="17"/>
  <c r="G102" i="17"/>
  <c r="F102" i="17"/>
  <c r="C102" i="17"/>
  <c r="I101" i="17"/>
  <c r="E101" i="17"/>
  <c r="J101" i="17"/>
  <c r="H101" i="17"/>
  <c r="G101" i="17"/>
  <c r="F101" i="17"/>
  <c r="C101" i="17"/>
  <c r="I108" i="17"/>
  <c r="E108" i="17"/>
  <c r="J108" i="17"/>
  <c r="H108" i="17"/>
  <c r="G108" i="17"/>
  <c r="F108" i="17"/>
  <c r="C108" i="17"/>
  <c r="I107" i="17"/>
  <c r="E107" i="17"/>
  <c r="J107" i="17"/>
  <c r="H107" i="17"/>
  <c r="G107" i="17"/>
  <c r="F107" i="17"/>
  <c r="C107" i="17"/>
  <c r="I113" i="17"/>
  <c r="E113" i="17"/>
  <c r="J113" i="17"/>
  <c r="H113" i="17"/>
  <c r="G113" i="17"/>
  <c r="F113" i="17"/>
  <c r="C113" i="17"/>
  <c r="I6" i="17"/>
  <c r="J6" i="17"/>
  <c r="H6" i="17"/>
  <c r="G6" i="17"/>
  <c r="F6" i="17"/>
  <c r="E6" i="17"/>
  <c r="C6" i="17"/>
  <c r="W2" i="3"/>
  <c r="Z2" i="3"/>
  <c r="AA2" i="3"/>
  <c r="W122" i="3"/>
  <c r="Z122" i="3"/>
  <c r="AA122" i="3"/>
  <c r="W121" i="3"/>
  <c r="Z121" i="3"/>
  <c r="AA121" i="3"/>
  <c r="W120" i="3"/>
  <c r="Z120" i="3"/>
  <c r="AA120" i="3"/>
  <c r="W119" i="3"/>
  <c r="Z119" i="3"/>
  <c r="AA119" i="3"/>
  <c r="W118" i="3"/>
  <c r="Z118" i="3"/>
  <c r="AA118" i="3"/>
  <c r="W117" i="3"/>
  <c r="Z117" i="3"/>
  <c r="AA117" i="3"/>
  <c r="W116" i="3"/>
  <c r="Z116" i="3"/>
  <c r="AA116" i="3"/>
  <c r="W115" i="3"/>
  <c r="Z115" i="3"/>
  <c r="AA115" i="3"/>
  <c r="W114" i="3"/>
  <c r="Z114" i="3"/>
  <c r="AA114" i="3"/>
  <c r="W113" i="3"/>
  <c r="Z113" i="3"/>
  <c r="AA113" i="3"/>
  <c r="W112" i="3"/>
  <c r="Z112" i="3"/>
  <c r="AA112" i="3"/>
  <c r="W111" i="3"/>
  <c r="Z111" i="3"/>
  <c r="AA111" i="3"/>
  <c r="W110" i="3"/>
  <c r="Z110" i="3"/>
  <c r="AA110" i="3"/>
  <c r="W109" i="3"/>
  <c r="Z109" i="3"/>
  <c r="AA109" i="3"/>
  <c r="W108" i="3"/>
  <c r="Z108" i="3"/>
  <c r="AA108" i="3"/>
  <c r="W107" i="3"/>
  <c r="Z107" i="3"/>
  <c r="AA107" i="3"/>
  <c r="W106" i="3"/>
  <c r="Z106" i="3"/>
  <c r="AA106" i="3"/>
  <c r="W105" i="3"/>
  <c r="Z105" i="3"/>
  <c r="AA105" i="3"/>
  <c r="W104" i="3"/>
  <c r="Z104" i="3"/>
  <c r="AA104" i="3"/>
  <c r="W103" i="3"/>
  <c r="Z103" i="3"/>
  <c r="AA103" i="3"/>
  <c r="W102" i="3"/>
  <c r="Z102" i="3"/>
  <c r="AA102" i="3"/>
  <c r="W101" i="3"/>
  <c r="Z101" i="3"/>
  <c r="AA101" i="3"/>
  <c r="W100" i="3"/>
  <c r="Z100" i="3"/>
  <c r="AA100" i="3"/>
  <c r="W99" i="3"/>
  <c r="Z99" i="3"/>
  <c r="AA99" i="3"/>
  <c r="W98" i="3"/>
  <c r="Z98" i="3"/>
  <c r="AA98" i="3"/>
  <c r="W97" i="3"/>
  <c r="Z97" i="3"/>
  <c r="AA97" i="3"/>
  <c r="W96" i="3"/>
  <c r="Z96" i="3"/>
  <c r="AA96" i="3"/>
  <c r="W95" i="3"/>
  <c r="Z95" i="3"/>
  <c r="AA95" i="3"/>
  <c r="W94" i="3"/>
  <c r="Z94" i="3"/>
  <c r="AA94" i="3"/>
  <c r="W93" i="3"/>
  <c r="Z93" i="3"/>
  <c r="AA93" i="3"/>
  <c r="W92" i="3"/>
  <c r="Z92" i="3"/>
  <c r="AA92" i="3"/>
  <c r="W91" i="3"/>
  <c r="Z91" i="3"/>
  <c r="AA91" i="3"/>
  <c r="W90" i="3"/>
  <c r="Z90" i="3"/>
  <c r="AA90" i="3"/>
  <c r="W89" i="3"/>
  <c r="Z89" i="3"/>
  <c r="AA89" i="3"/>
  <c r="W88" i="3"/>
  <c r="Z88" i="3"/>
  <c r="AA88" i="3"/>
  <c r="W87" i="3"/>
  <c r="Z87" i="3"/>
  <c r="AA87" i="3"/>
  <c r="W86" i="3"/>
  <c r="Z86" i="3"/>
  <c r="AA86" i="3"/>
  <c r="W85" i="3"/>
  <c r="Z85" i="3"/>
  <c r="AA85" i="3"/>
  <c r="W84" i="3"/>
  <c r="Z84" i="3"/>
  <c r="AA84" i="3"/>
  <c r="W83" i="3"/>
  <c r="Z83" i="3"/>
  <c r="AA83" i="3"/>
  <c r="W82" i="3"/>
  <c r="Z82" i="3"/>
  <c r="AA82" i="3"/>
  <c r="W81" i="3"/>
  <c r="Z81" i="3"/>
  <c r="AA81" i="3"/>
  <c r="W80" i="3"/>
  <c r="Z80" i="3"/>
  <c r="AA80" i="3"/>
  <c r="W79" i="3"/>
  <c r="Z79" i="3"/>
  <c r="AA79" i="3"/>
  <c r="W78" i="3"/>
  <c r="Z78" i="3"/>
  <c r="AA78" i="3"/>
  <c r="W77" i="3"/>
  <c r="Z77" i="3"/>
  <c r="AA77" i="3"/>
  <c r="W76" i="3"/>
  <c r="Z76" i="3"/>
  <c r="AA76" i="3"/>
  <c r="W75" i="3"/>
  <c r="Z75" i="3"/>
  <c r="AA75" i="3"/>
  <c r="W74" i="3"/>
  <c r="Z74" i="3"/>
  <c r="AA74" i="3"/>
  <c r="W73" i="3"/>
  <c r="Z73" i="3"/>
  <c r="AA73" i="3"/>
  <c r="W72" i="3"/>
  <c r="Z72" i="3"/>
  <c r="AA72" i="3"/>
  <c r="W71" i="3"/>
  <c r="Z71" i="3"/>
  <c r="AA71" i="3"/>
  <c r="W70" i="3"/>
  <c r="Z70" i="3"/>
  <c r="AA70" i="3"/>
  <c r="W69" i="3"/>
  <c r="Z69" i="3"/>
  <c r="AA69" i="3"/>
  <c r="W68" i="3"/>
  <c r="Z68" i="3"/>
  <c r="AA68" i="3"/>
  <c r="W67" i="3"/>
  <c r="Z67" i="3"/>
  <c r="AA67" i="3"/>
  <c r="W66" i="3"/>
  <c r="Z66" i="3"/>
  <c r="AA66" i="3"/>
  <c r="W65" i="3"/>
  <c r="Z65" i="3"/>
  <c r="AA65" i="3"/>
  <c r="W64" i="3"/>
  <c r="Z64" i="3"/>
  <c r="AA64" i="3"/>
  <c r="W63" i="3"/>
  <c r="Z63" i="3"/>
  <c r="AA63" i="3"/>
  <c r="W62" i="3"/>
  <c r="Z62" i="3"/>
  <c r="AA62" i="3"/>
  <c r="W61" i="3"/>
  <c r="Z61" i="3"/>
  <c r="AA61" i="3"/>
  <c r="W60" i="3"/>
  <c r="Z60" i="3"/>
  <c r="AA60" i="3"/>
  <c r="W59" i="3"/>
  <c r="Z59" i="3"/>
  <c r="AA59" i="3"/>
  <c r="W58" i="3"/>
  <c r="Z58" i="3"/>
  <c r="AA58" i="3"/>
  <c r="W57" i="3"/>
  <c r="Z57" i="3"/>
  <c r="AA57" i="3"/>
  <c r="W56" i="3"/>
  <c r="Z56" i="3"/>
  <c r="AA56" i="3"/>
  <c r="W55" i="3"/>
  <c r="Z55" i="3"/>
  <c r="AA55" i="3"/>
  <c r="W54" i="3"/>
  <c r="Z54" i="3"/>
  <c r="AA54" i="3"/>
  <c r="W53" i="3"/>
  <c r="Z53" i="3"/>
  <c r="AA53" i="3"/>
  <c r="W52" i="3"/>
  <c r="Z52" i="3"/>
  <c r="AA52" i="3"/>
  <c r="W51" i="3"/>
  <c r="Z51" i="3"/>
  <c r="AA51" i="3"/>
  <c r="W50" i="3"/>
  <c r="Z50" i="3"/>
  <c r="AA50" i="3"/>
  <c r="W49" i="3"/>
  <c r="Z49" i="3"/>
  <c r="AA49" i="3"/>
  <c r="W48" i="3"/>
  <c r="Z48" i="3"/>
  <c r="AA48" i="3"/>
  <c r="W47" i="3"/>
  <c r="Z47" i="3"/>
  <c r="AA47" i="3"/>
  <c r="W46" i="3"/>
  <c r="Z46" i="3"/>
  <c r="AA46" i="3"/>
  <c r="W45" i="3"/>
  <c r="Z45" i="3"/>
  <c r="AA45" i="3"/>
  <c r="W44" i="3"/>
  <c r="Z44" i="3"/>
  <c r="AA44" i="3"/>
  <c r="W43" i="3"/>
  <c r="Z43" i="3"/>
  <c r="AA43" i="3"/>
  <c r="W42" i="3"/>
  <c r="Z42" i="3"/>
  <c r="AA42" i="3"/>
  <c r="W41" i="3"/>
  <c r="Z41" i="3"/>
  <c r="AA41" i="3"/>
  <c r="W40" i="3"/>
  <c r="Z40" i="3"/>
  <c r="AA40" i="3"/>
  <c r="W39" i="3"/>
  <c r="Z39" i="3"/>
  <c r="AA39" i="3"/>
  <c r="W38" i="3"/>
  <c r="Z38" i="3"/>
  <c r="AA38" i="3"/>
  <c r="W37" i="3"/>
  <c r="Z37" i="3"/>
  <c r="AA37" i="3"/>
  <c r="W36" i="3"/>
  <c r="Z36" i="3"/>
  <c r="AA36" i="3"/>
  <c r="W35" i="3"/>
  <c r="Z35" i="3"/>
  <c r="AA35" i="3"/>
  <c r="W34" i="3"/>
  <c r="Z34" i="3"/>
  <c r="AA34" i="3"/>
  <c r="W33" i="3"/>
  <c r="Z33" i="3"/>
  <c r="AA33" i="3"/>
  <c r="W32" i="3"/>
  <c r="Z32" i="3"/>
  <c r="AA32" i="3"/>
  <c r="W31" i="3"/>
  <c r="Z31" i="3"/>
  <c r="AA31" i="3"/>
  <c r="W30" i="3"/>
  <c r="Z30" i="3"/>
  <c r="AA30" i="3"/>
  <c r="W29" i="3"/>
  <c r="Z29" i="3"/>
  <c r="AA29" i="3"/>
  <c r="W28" i="3"/>
  <c r="Z28" i="3"/>
  <c r="AA28" i="3"/>
  <c r="W27" i="3"/>
  <c r="Z27" i="3"/>
  <c r="AA27" i="3"/>
  <c r="W26" i="3"/>
  <c r="Z26" i="3"/>
  <c r="AA26" i="3"/>
  <c r="W25" i="3"/>
  <c r="Z25" i="3"/>
  <c r="AA25" i="3"/>
  <c r="W24" i="3"/>
  <c r="Z24" i="3"/>
  <c r="AA24" i="3"/>
  <c r="W23" i="3"/>
  <c r="Z23" i="3"/>
  <c r="AA23" i="3"/>
  <c r="W22" i="3"/>
  <c r="Z22" i="3"/>
  <c r="AA22" i="3"/>
  <c r="W21" i="3"/>
  <c r="Z21" i="3"/>
  <c r="AA21" i="3"/>
  <c r="W20" i="3"/>
  <c r="Z20" i="3"/>
  <c r="AA20" i="3"/>
  <c r="W19" i="3"/>
  <c r="Z19" i="3"/>
  <c r="AA19" i="3"/>
  <c r="W18" i="3"/>
  <c r="Z18" i="3"/>
  <c r="AA18" i="3"/>
  <c r="W17" i="3"/>
  <c r="Z17" i="3"/>
  <c r="AA17" i="3"/>
  <c r="W16" i="3"/>
  <c r="Z16" i="3"/>
  <c r="AA16" i="3"/>
  <c r="W15" i="3"/>
  <c r="Z15" i="3"/>
  <c r="AA15" i="3"/>
  <c r="W14" i="3"/>
  <c r="Z14" i="3"/>
  <c r="AA14" i="3"/>
  <c r="W13" i="3"/>
  <c r="Z13" i="3"/>
  <c r="AA13" i="3"/>
  <c r="W12" i="3"/>
  <c r="Z12" i="3"/>
  <c r="AA12" i="3"/>
  <c r="W11" i="3"/>
  <c r="Z11" i="3"/>
  <c r="AA11" i="3"/>
  <c r="W10" i="3"/>
  <c r="Z10" i="3"/>
  <c r="AA10" i="3"/>
  <c r="W9" i="3"/>
  <c r="Z9" i="3"/>
  <c r="AA9" i="3"/>
  <c r="W8" i="3"/>
  <c r="Z8" i="3"/>
  <c r="AA8" i="3"/>
  <c r="W7" i="3"/>
  <c r="Z7" i="3"/>
  <c r="AA7" i="3"/>
  <c r="W6" i="3"/>
  <c r="Z6" i="3"/>
  <c r="AA6" i="3"/>
  <c r="W5" i="3"/>
  <c r="Z5" i="3"/>
  <c r="AA5" i="3"/>
  <c r="W4" i="3"/>
  <c r="Z4" i="3"/>
  <c r="AA4" i="3"/>
  <c r="W3" i="3"/>
  <c r="Z3" i="3"/>
  <c r="AA3" i="3"/>
  <c r="W123" i="3"/>
  <c r="Z123" i="3"/>
  <c r="W124" i="3"/>
  <c r="Z124" i="3"/>
  <c r="W125" i="3"/>
  <c r="Z125" i="3"/>
  <c r="W126" i="3"/>
  <c r="Z126" i="3"/>
  <c r="W127" i="3"/>
  <c r="Z127" i="3"/>
  <c r="W128" i="3"/>
  <c r="Z128" i="3"/>
  <c r="W129" i="3"/>
  <c r="Z129" i="3"/>
  <c r="W130" i="3"/>
  <c r="Z130" i="3"/>
  <c r="W131" i="3"/>
  <c r="Z131" i="3"/>
  <c r="W132" i="3"/>
  <c r="Z132" i="3"/>
  <c r="W133" i="3"/>
  <c r="Z133" i="3"/>
  <c r="W134" i="3"/>
  <c r="Z134" i="3"/>
  <c r="W135" i="3"/>
  <c r="Z135" i="3"/>
  <c r="W136" i="3"/>
  <c r="Z136" i="3"/>
  <c r="W137" i="3"/>
  <c r="Z137" i="3"/>
  <c r="W138" i="3"/>
  <c r="Z138" i="3"/>
  <c r="W139" i="3"/>
  <c r="Z139" i="3"/>
  <c r="W140" i="3"/>
  <c r="Z140" i="3"/>
  <c r="W141" i="3"/>
  <c r="Z141" i="3"/>
  <c r="W142" i="3"/>
  <c r="Z142" i="3"/>
  <c r="W143" i="3"/>
  <c r="Z143" i="3"/>
  <c r="W144" i="3"/>
  <c r="Z144" i="3"/>
  <c r="W145" i="3"/>
  <c r="Z145" i="3"/>
  <c r="W146" i="3"/>
  <c r="Z146" i="3"/>
  <c r="W147" i="3"/>
  <c r="Z147" i="3"/>
  <c r="W148" i="3"/>
  <c r="Z148" i="3"/>
  <c r="W149" i="3"/>
  <c r="Z149" i="3"/>
  <c r="W150" i="3"/>
  <c r="Z150" i="3"/>
  <c r="W151" i="3"/>
  <c r="Z151" i="3"/>
  <c r="W152" i="3"/>
  <c r="Z152" i="3"/>
  <c r="W153" i="3"/>
  <c r="Z153" i="3"/>
  <c r="W154" i="3"/>
  <c r="Z154" i="3"/>
  <c r="W155" i="3"/>
  <c r="Z155" i="3"/>
  <c r="W156" i="3"/>
  <c r="Z156" i="3"/>
  <c r="W157" i="3"/>
  <c r="Z157" i="3"/>
  <c r="W158" i="3"/>
  <c r="Z158" i="3"/>
  <c r="W159" i="3"/>
  <c r="Z159" i="3"/>
  <c r="W160" i="3"/>
  <c r="Z160" i="3"/>
  <c r="W161" i="3"/>
  <c r="Z161" i="3"/>
  <c r="W162" i="3"/>
  <c r="Z162" i="3"/>
  <c r="W163" i="3"/>
  <c r="Z163" i="3"/>
  <c r="W164" i="3"/>
  <c r="Z164" i="3"/>
  <c r="W165" i="3"/>
  <c r="Z165" i="3"/>
  <c r="W166" i="3"/>
  <c r="Z166" i="3"/>
  <c r="W167" i="3"/>
  <c r="Z167" i="3"/>
  <c r="W168" i="3"/>
  <c r="Z168" i="3"/>
  <c r="W169" i="3"/>
  <c r="Z169" i="3"/>
  <c r="W170" i="3"/>
  <c r="Z170" i="3"/>
  <c r="W171" i="3"/>
  <c r="Z171" i="3"/>
  <c r="W172" i="3"/>
  <c r="Z172" i="3"/>
  <c r="W173" i="3"/>
  <c r="Z173" i="3"/>
  <c r="W174" i="3"/>
  <c r="Z174" i="3"/>
  <c r="W175" i="3"/>
  <c r="Z175" i="3"/>
  <c r="W176" i="3"/>
  <c r="Z176" i="3"/>
  <c r="W177" i="3"/>
  <c r="Z177" i="3"/>
  <c r="W178" i="3"/>
  <c r="Z178" i="3"/>
  <c r="W179" i="3"/>
  <c r="Z179" i="3"/>
  <c r="W180" i="3"/>
  <c r="Z180" i="3"/>
  <c r="W181" i="3"/>
  <c r="Z181" i="3"/>
  <c r="W182" i="3"/>
  <c r="Z182" i="3"/>
  <c r="W183" i="3"/>
  <c r="Z183" i="3"/>
  <c r="W184" i="3"/>
  <c r="Z184" i="3"/>
  <c r="W185" i="3"/>
  <c r="Z185" i="3"/>
  <c r="W186" i="3"/>
  <c r="Z186" i="3"/>
  <c r="W187" i="3"/>
  <c r="Z187" i="3"/>
  <c r="W188" i="3"/>
  <c r="Z188" i="3"/>
  <c r="W189" i="3"/>
  <c r="Z189" i="3"/>
  <c r="W190" i="3"/>
  <c r="Z190" i="3"/>
  <c r="W191" i="3"/>
  <c r="Z191" i="3"/>
  <c r="W192" i="3"/>
  <c r="Z192" i="3"/>
  <c r="W193" i="3"/>
  <c r="Z193" i="3"/>
  <c r="W194" i="3"/>
  <c r="Z194" i="3"/>
  <c r="W195" i="3"/>
  <c r="Z195" i="3"/>
  <c r="W196" i="3"/>
  <c r="Z196" i="3"/>
  <c r="W197" i="3"/>
  <c r="Z197" i="3"/>
  <c r="W198" i="3"/>
  <c r="Z198" i="3"/>
  <c r="W199" i="3"/>
  <c r="Z199" i="3"/>
  <c r="W200" i="3"/>
  <c r="Z200" i="3"/>
  <c r="W201" i="3"/>
  <c r="Z201" i="3"/>
  <c r="W202" i="3"/>
  <c r="Z202" i="3"/>
  <c r="W203" i="3"/>
  <c r="Z203" i="3"/>
  <c r="W204" i="3"/>
  <c r="Z204" i="3"/>
  <c r="W205" i="3"/>
  <c r="Z205" i="3"/>
  <c r="W206" i="3"/>
  <c r="Z206" i="3"/>
  <c r="W207" i="3"/>
  <c r="Z207" i="3"/>
  <c r="W208" i="3"/>
  <c r="Z208" i="3"/>
  <c r="W209" i="3"/>
  <c r="Z209" i="3"/>
  <c r="W210" i="3"/>
  <c r="Z210" i="3"/>
  <c r="W211" i="3"/>
  <c r="Z211" i="3"/>
  <c r="W212" i="3"/>
  <c r="Z212" i="3"/>
  <c r="W213" i="3"/>
  <c r="Z213" i="3"/>
  <c r="W214" i="3"/>
  <c r="Z214" i="3"/>
  <c r="W215" i="3"/>
  <c r="Z215" i="3"/>
  <c r="W216" i="3"/>
  <c r="Z216" i="3"/>
  <c r="W217" i="3"/>
  <c r="Z217" i="3"/>
  <c r="W218" i="3"/>
  <c r="Z218" i="3"/>
  <c r="W219" i="3"/>
  <c r="Z219" i="3"/>
  <c r="W220" i="3"/>
  <c r="Z220" i="3"/>
  <c r="W221" i="3"/>
  <c r="Z221" i="3"/>
  <c r="S5" i="13"/>
  <c r="E5" i="13"/>
  <c r="S6" i="13"/>
  <c r="E6" i="13"/>
  <c r="S7" i="13"/>
  <c r="E7" i="13"/>
  <c r="S8" i="13"/>
  <c r="E8" i="13"/>
  <c r="S9" i="13"/>
  <c r="E9" i="13"/>
  <c r="S10" i="13"/>
  <c r="E10" i="13"/>
  <c r="S11" i="13"/>
  <c r="E11" i="13"/>
  <c r="S12" i="13"/>
  <c r="E12" i="13"/>
  <c r="S13" i="13"/>
  <c r="E13" i="13"/>
  <c r="S14" i="13"/>
  <c r="E14" i="13"/>
  <c r="S15" i="13"/>
  <c r="E15" i="13"/>
  <c r="S16" i="13"/>
  <c r="E16" i="13"/>
  <c r="S17" i="13"/>
  <c r="E17" i="13"/>
  <c r="S18" i="13"/>
  <c r="E18" i="13"/>
  <c r="S19" i="13"/>
  <c r="E19" i="13"/>
  <c r="S20" i="13"/>
  <c r="E20" i="13"/>
  <c r="S21" i="13"/>
  <c r="E21" i="13"/>
  <c r="S4" i="13"/>
  <c r="E4" i="13"/>
  <c r="C3" i="17"/>
  <c r="C4" i="17"/>
  <c r="C5" i="17"/>
  <c r="C7" i="17"/>
  <c r="C8" i="17"/>
  <c r="C9" i="17"/>
  <c r="C10" i="17"/>
  <c r="C13" i="17"/>
  <c r="C14" i="17"/>
  <c r="C15" i="17"/>
  <c r="C16" i="17"/>
  <c r="C19" i="17"/>
  <c r="C20" i="17"/>
  <c r="C21" i="17"/>
  <c r="C22" i="17"/>
  <c r="C25" i="17"/>
  <c r="C26" i="17"/>
  <c r="C27" i="17"/>
  <c r="C28" i="17"/>
  <c r="C31" i="17"/>
  <c r="C32" i="17"/>
  <c r="C33" i="17"/>
  <c r="C34" i="17"/>
  <c r="C37" i="17"/>
  <c r="C38" i="17"/>
  <c r="C39" i="17"/>
  <c r="C40" i="17"/>
  <c r="C43" i="17"/>
  <c r="C44" i="17"/>
  <c r="C45" i="17"/>
  <c r="C46" i="17"/>
  <c r="C49" i="17"/>
  <c r="C50" i="17"/>
  <c r="C51" i="17"/>
  <c r="C52" i="17"/>
  <c r="C55" i="17"/>
  <c r="C56" i="17"/>
  <c r="C57" i="17"/>
  <c r="C58" i="17"/>
  <c r="C61" i="17"/>
  <c r="C62" i="17"/>
  <c r="C63" i="17"/>
  <c r="C64" i="17"/>
  <c r="C67" i="17"/>
  <c r="C68" i="17"/>
  <c r="C69" i="17"/>
  <c r="C70" i="17"/>
  <c r="C73" i="17"/>
  <c r="C74" i="17"/>
  <c r="C75" i="17"/>
  <c r="C76" i="17"/>
  <c r="C79" i="17"/>
  <c r="C80" i="17"/>
  <c r="C81" i="17"/>
  <c r="C82" i="17"/>
  <c r="C85" i="17"/>
  <c r="C86" i="17"/>
  <c r="C87" i="17"/>
  <c r="C88" i="17"/>
  <c r="C91" i="17"/>
  <c r="C92" i="17"/>
  <c r="C93" i="17"/>
  <c r="C94" i="17"/>
  <c r="C97" i="17"/>
  <c r="C98" i="17"/>
  <c r="C99" i="17"/>
  <c r="C100" i="17"/>
  <c r="C103" i="17"/>
  <c r="C104" i="17"/>
  <c r="C105" i="17"/>
  <c r="C106" i="17"/>
  <c r="C109" i="17"/>
  <c r="C110" i="17"/>
  <c r="C111" i="17"/>
  <c r="C112" i="17"/>
  <c r="C114" i="17"/>
  <c r="C115" i="17"/>
  <c r="C2" i="17"/>
  <c r="F2" i="17"/>
  <c r="F115" i="17"/>
  <c r="F114" i="17"/>
  <c r="F112" i="17"/>
  <c r="F111" i="17"/>
  <c r="F110" i="17"/>
  <c r="F109" i="17"/>
  <c r="F106" i="17"/>
  <c r="F105" i="17"/>
  <c r="F104" i="17"/>
  <c r="F103" i="17"/>
  <c r="F100" i="17"/>
  <c r="F99" i="17"/>
  <c r="F98" i="17"/>
  <c r="F97" i="17"/>
  <c r="F94" i="17"/>
  <c r="F93" i="17"/>
  <c r="F92" i="17"/>
  <c r="F91" i="17"/>
  <c r="F88" i="17"/>
  <c r="F87" i="17"/>
  <c r="F86" i="17"/>
  <c r="F85" i="17"/>
  <c r="F82" i="17"/>
  <c r="F81" i="17"/>
  <c r="F80" i="17"/>
  <c r="F79" i="17"/>
  <c r="F76" i="17"/>
  <c r="F75" i="17"/>
  <c r="F74" i="17"/>
  <c r="F73" i="17"/>
  <c r="F70" i="17"/>
  <c r="F69" i="17"/>
  <c r="F68" i="17"/>
  <c r="F67" i="17"/>
  <c r="F64" i="17"/>
  <c r="F63" i="17"/>
  <c r="F62" i="17"/>
  <c r="F61" i="17"/>
  <c r="F58" i="17"/>
  <c r="F57" i="17"/>
  <c r="F56" i="17"/>
  <c r="F55" i="17"/>
  <c r="F52" i="17"/>
  <c r="F51" i="17"/>
  <c r="F50" i="17"/>
  <c r="F49" i="17"/>
  <c r="F46" i="17"/>
  <c r="F45" i="17"/>
  <c r="F44" i="17"/>
  <c r="F43" i="17"/>
  <c r="F40" i="17"/>
  <c r="F39" i="17"/>
  <c r="F38" i="17"/>
  <c r="F37" i="17"/>
  <c r="F34" i="17"/>
  <c r="F33" i="17"/>
  <c r="F32" i="17"/>
  <c r="F31" i="17"/>
  <c r="F28" i="17"/>
  <c r="F27" i="17"/>
  <c r="F26" i="17"/>
  <c r="F25" i="17"/>
  <c r="F22" i="17"/>
  <c r="F21" i="17"/>
  <c r="F20" i="17"/>
  <c r="F19" i="17"/>
  <c r="F16" i="17"/>
  <c r="F15" i="17"/>
  <c r="F14" i="17"/>
  <c r="F13" i="17"/>
  <c r="F10" i="17"/>
  <c r="F9" i="17"/>
  <c r="F8" i="17"/>
  <c r="F7" i="17"/>
  <c r="F5" i="17"/>
  <c r="F4" i="17"/>
  <c r="F3" i="17"/>
  <c r="I2" i="17"/>
  <c r="E2" i="17"/>
  <c r="J2" i="17"/>
  <c r="I3" i="17"/>
  <c r="J3" i="17"/>
  <c r="I4" i="17"/>
  <c r="J4" i="17"/>
  <c r="I5" i="17"/>
  <c r="J5" i="17"/>
  <c r="I7" i="17"/>
  <c r="J7" i="17"/>
  <c r="I8" i="17"/>
  <c r="E8" i="17"/>
  <c r="J8" i="17"/>
  <c r="I9" i="17"/>
  <c r="J9" i="17"/>
  <c r="I10" i="17"/>
  <c r="E10" i="17"/>
  <c r="J10" i="17"/>
  <c r="I13" i="17"/>
  <c r="E13" i="17"/>
  <c r="J13" i="17"/>
  <c r="I14" i="17"/>
  <c r="E14" i="17"/>
  <c r="J14" i="17"/>
  <c r="I15" i="17"/>
  <c r="E15" i="17"/>
  <c r="J15" i="17"/>
  <c r="I16" i="17"/>
  <c r="E16" i="17"/>
  <c r="J16" i="17"/>
  <c r="I19" i="17"/>
  <c r="E19" i="17"/>
  <c r="J19" i="17"/>
  <c r="I20" i="17"/>
  <c r="E20" i="17"/>
  <c r="J20" i="17"/>
  <c r="I21" i="17"/>
  <c r="E21" i="17"/>
  <c r="J21" i="17"/>
  <c r="I22" i="17"/>
  <c r="E22" i="17"/>
  <c r="J22" i="17"/>
  <c r="I25" i="17"/>
  <c r="E25" i="17"/>
  <c r="J25" i="17"/>
  <c r="I26" i="17"/>
  <c r="E26" i="17"/>
  <c r="J26" i="17"/>
  <c r="I27" i="17"/>
  <c r="E27" i="17"/>
  <c r="J27" i="17"/>
  <c r="I28" i="17"/>
  <c r="E28" i="17"/>
  <c r="J28" i="17"/>
  <c r="I31" i="17"/>
  <c r="E31" i="17"/>
  <c r="J31" i="17"/>
  <c r="I32" i="17"/>
  <c r="E32" i="17"/>
  <c r="J32" i="17"/>
  <c r="I33" i="17"/>
  <c r="E33" i="17"/>
  <c r="J33" i="17"/>
  <c r="I34" i="17"/>
  <c r="E34" i="17"/>
  <c r="J34" i="17"/>
  <c r="I37" i="17"/>
  <c r="E37" i="17"/>
  <c r="J37" i="17"/>
  <c r="I38" i="17"/>
  <c r="E38" i="17"/>
  <c r="J38" i="17"/>
  <c r="I39" i="17"/>
  <c r="E39" i="17"/>
  <c r="J39" i="17"/>
  <c r="I40" i="17"/>
  <c r="E40" i="17"/>
  <c r="J40" i="17"/>
  <c r="I43" i="17"/>
  <c r="E43" i="17"/>
  <c r="J43" i="17"/>
  <c r="I44" i="17"/>
  <c r="E44" i="17"/>
  <c r="J44" i="17"/>
  <c r="I45" i="17"/>
  <c r="E45" i="17"/>
  <c r="J45" i="17"/>
  <c r="I46" i="17"/>
  <c r="E46" i="17"/>
  <c r="J46" i="17"/>
  <c r="I49" i="17"/>
  <c r="E49" i="17"/>
  <c r="J49" i="17"/>
  <c r="I50" i="17"/>
  <c r="E50" i="17"/>
  <c r="J50" i="17"/>
  <c r="I51" i="17"/>
  <c r="E51" i="17"/>
  <c r="J51" i="17"/>
  <c r="I52" i="17"/>
  <c r="E52" i="17"/>
  <c r="J52" i="17"/>
  <c r="I55" i="17"/>
  <c r="E55" i="17"/>
  <c r="J55" i="17"/>
  <c r="I56" i="17"/>
  <c r="E56" i="17"/>
  <c r="J56" i="17"/>
  <c r="I57" i="17"/>
  <c r="E57" i="17"/>
  <c r="J57" i="17"/>
  <c r="I58" i="17"/>
  <c r="E58" i="17"/>
  <c r="J58" i="17"/>
  <c r="I61" i="17"/>
  <c r="E61" i="17"/>
  <c r="J61" i="17"/>
  <c r="I62" i="17"/>
  <c r="E62" i="17"/>
  <c r="J62" i="17"/>
  <c r="I63" i="17"/>
  <c r="E63" i="17"/>
  <c r="J63" i="17"/>
  <c r="I64" i="17"/>
  <c r="E64" i="17"/>
  <c r="J64" i="17"/>
  <c r="I67" i="17"/>
  <c r="E67" i="17"/>
  <c r="J67" i="17"/>
  <c r="I68" i="17"/>
  <c r="J68" i="17"/>
  <c r="I69" i="17"/>
  <c r="E69" i="17"/>
  <c r="J69" i="17"/>
  <c r="I70" i="17"/>
  <c r="E70" i="17"/>
  <c r="J70" i="17"/>
  <c r="I73" i="17"/>
  <c r="E73" i="17"/>
  <c r="J73" i="17"/>
  <c r="I74" i="17"/>
  <c r="J74" i="17"/>
  <c r="I75" i="17"/>
  <c r="E75" i="17"/>
  <c r="J75" i="17"/>
  <c r="I76" i="17"/>
  <c r="E76" i="17"/>
  <c r="J76" i="17"/>
  <c r="I79" i="17"/>
  <c r="E79" i="17"/>
  <c r="J79" i="17"/>
  <c r="I80" i="17"/>
  <c r="J80" i="17"/>
  <c r="I81" i="17"/>
  <c r="E81" i="17"/>
  <c r="J81" i="17"/>
  <c r="I82" i="17"/>
  <c r="E82" i="17"/>
  <c r="J82" i="17"/>
  <c r="I85" i="17"/>
  <c r="E85" i="17"/>
  <c r="J85" i="17"/>
  <c r="I86" i="17"/>
  <c r="J86" i="17"/>
  <c r="I87" i="17"/>
  <c r="E87" i="17"/>
  <c r="J87" i="17"/>
  <c r="I88" i="17"/>
  <c r="E88" i="17"/>
  <c r="J88" i="17"/>
  <c r="I91" i="17"/>
  <c r="E91" i="17"/>
  <c r="J91" i="17"/>
  <c r="I92" i="17"/>
  <c r="J92" i="17"/>
  <c r="I93" i="17"/>
  <c r="E93" i="17"/>
  <c r="J93" i="17"/>
  <c r="I94" i="17"/>
  <c r="E94" i="17"/>
  <c r="J94" i="17"/>
  <c r="I97" i="17"/>
  <c r="E97" i="17"/>
  <c r="J97" i="17"/>
  <c r="I98" i="17"/>
  <c r="J98" i="17"/>
  <c r="I99" i="17"/>
  <c r="E99" i="17"/>
  <c r="J99" i="17"/>
  <c r="I100" i="17"/>
  <c r="E100" i="17"/>
  <c r="J100" i="17"/>
  <c r="I103" i="17"/>
  <c r="E103" i="17"/>
  <c r="J103" i="17"/>
  <c r="I104" i="17"/>
  <c r="J104" i="17"/>
  <c r="I105" i="17"/>
  <c r="E105" i="17"/>
  <c r="J105" i="17"/>
  <c r="I106" i="17"/>
  <c r="E106" i="17"/>
  <c r="J106" i="17"/>
  <c r="I109" i="17"/>
  <c r="E109" i="17"/>
  <c r="J109" i="17"/>
  <c r="I110" i="17"/>
  <c r="J110" i="17"/>
  <c r="I111" i="17"/>
  <c r="E111" i="17"/>
  <c r="J111" i="17"/>
  <c r="I112" i="17"/>
  <c r="E112" i="17"/>
  <c r="J112" i="17"/>
  <c r="I114" i="17"/>
  <c r="E114" i="17"/>
  <c r="J114" i="17"/>
  <c r="I115" i="17"/>
  <c r="E115" i="17"/>
  <c r="J115" i="17"/>
  <c r="H115" i="17"/>
  <c r="H114" i="17"/>
  <c r="H112" i="17"/>
  <c r="H111" i="17"/>
  <c r="H110" i="17"/>
  <c r="H109" i="17"/>
  <c r="H106" i="17"/>
  <c r="H105" i="17"/>
  <c r="H104" i="17"/>
  <c r="H103" i="17"/>
  <c r="H100" i="17"/>
  <c r="H99" i="17"/>
  <c r="H98" i="17"/>
  <c r="H97" i="17"/>
  <c r="H94" i="17"/>
  <c r="H93" i="17"/>
  <c r="H92" i="17"/>
  <c r="H91" i="17"/>
  <c r="H88" i="17"/>
  <c r="H87" i="17"/>
  <c r="H86" i="17"/>
  <c r="H85" i="17"/>
  <c r="H82" i="17"/>
  <c r="H81" i="17"/>
  <c r="H80" i="17"/>
  <c r="H79" i="17"/>
  <c r="H76" i="17"/>
  <c r="H75" i="17"/>
  <c r="H74" i="17"/>
  <c r="H73" i="17"/>
  <c r="H70" i="17"/>
  <c r="H69" i="17"/>
  <c r="H68" i="17"/>
  <c r="H67" i="17"/>
  <c r="H64" i="17"/>
  <c r="H63" i="17"/>
  <c r="H62" i="17"/>
  <c r="H61" i="17"/>
  <c r="H58" i="17"/>
  <c r="H57" i="17"/>
  <c r="H56" i="17"/>
  <c r="H55" i="17"/>
  <c r="H52" i="17"/>
  <c r="H51" i="17"/>
  <c r="H50" i="17"/>
  <c r="H49" i="17"/>
  <c r="H46" i="17"/>
  <c r="H45" i="17"/>
  <c r="H44" i="17"/>
  <c r="H43" i="17"/>
  <c r="H40" i="17"/>
  <c r="H39" i="17"/>
  <c r="H38" i="17"/>
  <c r="H37" i="17"/>
  <c r="H34" i="17"/>
  <c r="H33" i="17"/>
  <c r="H32" i="17"/>
  <c r="H31" i="17"/>
  <c r="H28" i="17"/>
  <c r="H27" i="17"/>
  <c r="H26" i="17"/>
  <c r="H25" i="17"/>
  <c r="H22" i="17"/>
  <c r="H21" i="17"/>
  <c r="H20" i="17"/>
  <c r="H19" i="17"/>
  <c r="H16" i="17"/>
  <c r="H15" i="17"/>
  <c r="H14" i="17"/>
  <c r="H13" i="17"/>
  <c r="H10" i="17"/>
  <c r="H9" i="17"/>
  <c r="H8" i="17"/>
  <c r="H7" i="17"/>
  <c r="H5" i="17"/>
  <c r="H4" i="17"/>
  <c r="H3" i="17"/>
  <c r="H2" i="17"/>
  <c r="G115" i="17"/>
  <c r="G114" i="17"/>
  <c r="G112" i="17"/>
  <c r="G111" i="17"/>
  <c r="G110" i="17"/>
  <c r="G109" i="17"/>
  <c r="G106" i="17"/>
  <c r="G105" i="17"/>
  <c r="G104" i="17"/>
  <c r="G103" i="17"/>
  <c r="G100" i="17"/>
  <c r="G99" i="17"/>
  <c r="G98" i="17"/>
  <c r="G97" i="17"/>
  <c r="G94" i="17"/>
  <c r="G93" i="17"/>
  <c r="G92" i="17"/>
  <c r="G91" i="17"/>
  <c r="G88" i="17"/>
  <c r="G87" i="17"/>
  <c r="G86" i="17"/>
  <c r="G85" i="17"/>
  <c r="G82" i="17"/>
  <c r="G81" i="17"/>
  <c r="G80" i="17"/>
  <c r="G79" i="17"/>
  <c r="G76" i="17"/>
  <c r="G75" i="17"/>
  <c r="G74" i="17"/>
  <c r="G73" i="17"/>
  <c r="G70" i="17"/>
  <c r="G69" i="17"/>
  <c r="G68" i="17"/>
  <c r="G67" i="17"/>
  <c r="G64" i="17"/>
  <c r="G63" i="17"/>
  <c r="G62" i="17"/>
  <c r="G61" i="17"/>
  <c r="G58" i="17"/>
  <c r="G57" i="17"/>
  <c r="G56" i="17"/>
  <c r="G55" i="17"/>
  <c r="G52" i="17"/>
  <c r="G51" i="17"/>
  <c r="G50" i="17"/>
  <c r="G49" i="17"/>
  <c r="G46" i="17"/>
  <c r="G45" i="17"/>
  <c r="G44" i="17"/>
  <c r="G43" i="17"/>
  <c r="G40" i="17"/>
  <c r="G39" i="17"/>
  <c r="G38" i="17"/>
  <c r="G37" i="17"/>
  <c r="G34" i="17"/>
  <c r="G33" i="17"/>
  <c r="G32" i="17"/>
  <c r="G31" i="17"/>
  <c r="G28" i="17"/>
  <c r="G27" i="17"/>
  <c r="G26" i="17"/>
  <c r="G25" i="17"/>
  <c r="G22" i="17"/>
  <c r="G21" i="17"/>
  <c r="G20" i="17"/>
  <c r="G19" i="17"/>
  <c r="G16" i="17"/>
  <c r="G15" i="17"/>
  <c r="G14" i="17"/>
  <c r="G13" i="17"/>
  <c r="G10" i="17"/>
  <c r="G9" i="17"/>
  <c r="G8" i="17"/>
  <c r="G7" i="17"/>
  <c r="G5" i="17"/>
  <c r="G4" i="17"/>
  <c r="G3" i="17"/>
  <c r="G2" i="17"/>
  <c r="E3" i="17"/>
  <c r="E4" i="17"/>
  <c r="E5" i="17"/>
  <c r="E7" i="17"/>
  <c r="E9" i="17"/>
  <c r="E68" i="17"/>
  <c r="E74" i="17"/>
  <c r="E80" i="17"/>
  <c r="E86" i="17"/>
  <c r="E92" i="17"/>
  <c r="E98" i="17"/>
  <c r="E104" i="17"/>
  <c r="E110" i="17"/>
  <c r="Y515" i="4"/>
  <c r="AB705" i="4"/>
  <c r="Y705" i="4"/>
  <c r="Y686" i="4"/>
  <c r="AB686" i="4"/>
  <c r="AA193" i="3"/>
  <c r="AA192" i="3"/>
  <c r="AA191" i="3"/>
  <c r="AA190" i="3"/>
  <c r="AA189" i="3"/>
  <c r="AA188" i="3"/>
  <c r="AA187" i="3"/>
  <c r="AA186" i="3"/>
  <c r="AA185" i="3"/>
  <c r="AA184" i="3"/>
  <c r="AA183" i="3"/>
  <c r="AA182" i="3"/>
  <c r="AA181" i="3"/>
  <c r="AA180" i="3"/>
  <c r="AA179" i="3"/>
  <c r="AA178" i="3"/>
  <c r="AA177" i="3"/>
  <c r="AA176" i="3"/>
  <c r="AA175" i="3"/>
  <c r="AA174" i="3"/>
  <c r="AA173" i="3"/>
  <c r="AA172" i="3"/>
  <c r="AA171" i="3"/>
  <c r="AA170" i="3"/>
  <c r="AA169" i="3"/>
  <c r="AA168" i="3"/>
  <c r="AA167" i="3"/>
  <c r="AA166" i="3"/>
  <c r="AA165" i="3"/>
  <c r="AA164" i="3"/>
  <c r="AA163" i="3"/>
  <c r="AA162" i="3"/>
  <c r="AA161" i="3"/>
  <c r="AA160" i="3"/>
  <c r="AA159" i="3"/>
  <c r="AA158" i="3"/>
  <c r="AA157" i="3"/>
  <c r="AA156" i="3"/>
  <c r="AA155" i="3"/>
  <c r="AA154" i="3"/>
  <c r="AA153" i="3"/>
  <c r="AA152" i="3"/>
  <c r="AA151" i="3"/>
  <c r="AA150" i="3"/>
  <c r="AA149" i="3"/>
  <c r="AA148" i="3"/>
  <c r="AA147" i="3"/>
  <c r="AA146" i="3"/>
  <c r="AA145" i="3"/>
  <c r="AA144" i="3"/>
  <c r="AA143" i="3"/>
  <c r="AA142" i="3"/>
  <c r="AA141" i="3"/>
  <c r="AA140" i="3"/>
  <c r="AA139" i="3"/>
  <c r="AA138" i="3"/>
  <c r="AA221" i="3"/>
  <c r="AA220" i="3"/>
  <c r="AA219" i="3"/>
  <c r="AA218" i="3"/>
  <c r="AA217" i="3"/>
  <c r="AA216" i="3"/>
  <c r="AA215" i="3"/>
  <c r="AA214" i="3"/>
  <c r="AA213" i="3"/>
  <c r="AA212" i="3"/>
  <c r="AA211" i="3"/>
  <c r="AA210" i="3"/>
  <c r="AA123" i="3"/>
  <c r="AA124" i="3"/>
  <c r="AA125" i="3"/>
  <c r="AA126" i="3"/>
  <c r="AA127" i="3"/>
  <c r="AA128" i="3"/>
  <c r="AA129" i="3"/>
  <c r="AA130" i="3"/>
  <c r="AA131" i="3"/>
  <c r="AA132" i="3"/>
  <c r="AA133" i="3"/>
  <c r="AA134" i="3"/>
  <c r="AA135" i="3"/>
  <c r="AA136" i="3"/>
  <c r="AA137" i="3"/>
  <c r="AA194" i="3"/>
  <c r="AA195" i="3"/>
  <c r="AA196" i="3"/>
  <c r="AA197" i="3"/>
  <c r="AA198" i="3"/>
  <c r="AA199" i="3"/>
  <c r="AA200" i="3"/>
  <c r="AA201" i="3"/>
  <c r="AA202" i="3"/>
  <c r="AA203" i="3"/>
  <c r="AA204" i="3"/>
  <c r="AA205" i="3"/>
  <c r="AA206" i="3"/>
  <c r="AA207" i="3"/>
  <c r="AA208" i="3"/>
  <c r="AA209" i="3"/>
  <c r="K67" i="12"/>
  <c r="K3" i="12"/>
  <c r="K2" i="12"/>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8" i="12"/>
  <c r="K69" i="12"/>
  <c r="K70" i="12"/>
  <c r="K71" i="12"/>
  <c r="K72" i="12"/>
  <c r="K73" i="12"/>
  <c r="K74"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75" i="12"/>
  <c r="Y500" i="4"/>
  <c r="Y498" i="4"/>
  <c r="Y490" i="4"/>
  <c r="AB500" i="4"/>
  <c r="AB498" i="4"/>
  <c r="AB490" i="4"/>
  <c r="Y1367" i="4"/>
  <c r="Y1366" i="4"/>
  <c r="Y1365" i="4"/>
  <c r="Y1364" i="4"/>
  <c r="Y1363" i="4"/>
  <c r="Y1362" i="4"/>
  <c r="Y1361" i="4"/>
  <c r="Y1360" i="4"/>
  <c r="Y1359" i="4"/>
  <c r="Y1358" i="4"/>
  <c r="Y1357" i="4"/>
  <c r="Y1356" i="4"/>
  <c r="Y1355" i="4"/>
  <c r="Y1354" i="4"/>
  <c r="Y1353" i="4"/>
  <c r="Y1352" i="4"/>
  <c r="Y1351" i="4"/>
  <c r="Y1350" i="4"/>
  <c r="Y1349" i="4"/>
  <c r="Y1348" i="4"/>
  <c r="Y1347" i="4"/>
  <c r="Y1346" i="4"/>
  <c r="Y1345" i="4"/>
  <c r="Y1344" i="4"/>
  <c r="Y1343" i="4"/>
  <c r="Y1342" i="4"/>
  <c r="Y1341" i="4"/>
  <c r="Y1340" i="4"/>
  <c r="Y1339" i="4"/>
  <c r="Y1338" i="4"/>
  <c r="Y1337" i="4"/>
  <c r="Y1335" i="4"/>
  <c r="Y1333" i="4"/>
  <c r="Y1332" i="4"/>
  <c r="Y1331" i="4"/>
  <c r="Y1330" i="4"/>
  <c r="Y1329" i="4"/>
  <c r="Y1328" i="4"/>
  <c r="Y1327" i="4"/>
  <c r="Y1326" i="4"/>
  <c r="Y1325" i="4"/>
  <c r="Y1324" i="4"/>
  <c r="Y1322" i="4"/>
  <c r="Y1320" i="4"/>
  <c r="Y1318" i="4"/>
  <c r="Y1317" i="4"/>
  <c r="Y1305" i="4"/>
  <c r="Y1299" i="4"/>
  <c r="Y1298" i="4"/>
  <c r="Y1297" i="4"/>
  <c r="Y1296" i="4"/>
  <c r="Y1295" i="4"/>
  <c r="Y1294" i="4"/>
  <c r="Y1293" i="4"/>
  <c r="Y1292" i="4"/>
  <c r="Y1291" i="4"/>
  <c r="Y1290" i="4"/>
  <c r="Y1289" i="4"/>
  <c r="Y1288" i="4"/>
  <c r="Y1287" i="4"/>
  <c r="Y1286" i="4"/>
  <c r="Y1285" i="4"/>
  <c r="Y1284" i="4"/>
  <c r="Y1283" i="4"/>
  <c r="Y1282" i="4"/>
  <c r="Y1281" i="4"/>
  <c r="Y1280" i="4"/>
  <c r="Y1279" i="4"/>
  <c r="Y1278" i="4"/>
  <c r="Y1277" i="4"/>
  <c r="Y1276" i="4"/>
  <c r="Y1275" i="4"/>
  <c r="Y1274" i="4"/>
  <c r="Y1273" i="4"/>
  <c r="Y1271" i="4"/>
  <c r="Y1268" i="4"/>
  <c r="Y1266" i="4"/>
  <c r="Y1265" i="4"/>
  <c r="Y1262" i="4"/>
  <c r="Y1261" i="4"/>
  <c r="Y1260" i="4"/>
  <c r="Y1258" i="4"/>
  <c r="Y1256" i="4"/>
  <c r="Y1255" i="4"/>
  <c r="Y1252" i="4"/>
  <c r="Y1251" i="4"/>
  <c r="Y1244" i="4"/>
  <c r="Y1242" i="4"/>
  <c r="Y1239" i="4"/>
  <c r="Y1236" i="4"/>
  <c r="Y1226" i="4"/>
  <c r="Y1221" i="4"/>
  <c r="Y118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49" i="4"/>
  <c r="Y1148" i="4"/>
  <c r="Y1147" i="4"/>
  <c r="Y1146" i="4"/>
  <c r="Y1143" i="4"/>
  <c r="Y1142" i="4"/>
  <c r="Y1141" i="4"/>
  <c r="Y1140" i="4"/>
  <c r="Y1139" i="4"/>
  <c r="Y1137" i="4"/>
  <c r="Y1136" i="4"/>
  <c r="Y1133" i="4"/>
  <c r="Y1132" i="4"/>
  <c r="Y1126" i="4"/>
  <c r="Y1125" i="4"/>
  <c r="Y1123" i="4"/>
  <c r="Y1120" i="4"/>
  <c r="Y1117" i="4"/>
  <c r="Y1107" i="4"/>
  <c r="Y1102" i="4"/>
  <c r="Y1067" i="4"/>
  <c r="Y1063"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0" i="4"/>
  <c r="Y1029" i="4"/>
  <c r="Y1028" i="4"/>
  <c r="Y1027" i="4"/>
  <c r="Y1026" i="4"/>
  <c r="Y1024" i="4"/>
  <c r="Y1023" i="4"/>
  <c r="Y1020" i="4"/>
  <c r="Y1019" i="4"/>
  <c r="Y1013" i="4"/>
  <c r="Y1012" i="4"/>
  <c r="Y1010" i="4"/>
  <c r="Y1007" i="4"/>
  <c r="Y1004" i="4"/>
  <c r="Y994" i="4"/>
  <c r="Y989" i="4"/>
  <c r="Y956" i="4"/>
  <c r="Y954" i="4"/>
  <c r="Y950" i="4"/>
  <c r="Y946" i="4"/>
  <c r="Y945" i="4"/>
  <c r="Y943" i="4"/>
  <c r="Y942" i="4"/>
  <c r="Y941" i="4"/>
  <c r="Y940" i="4"/>
  <c r="Y939" i="4"/>
  <c r="Y938" i="4"/>
  <c r="Y937" i="4"/>
  <c r="Y936" i="4"/>
  <c r="Y935" i="4"/>
  <c r="Y934" i="4"/>
  <c r="Y932" i="4"/>
  <c r="Y931" i="4"/>
  <c r="Y930" i="4"/>
  <c r="Y928" i="4"/>
  <c r="Y927" i="4"/>
  <c r="Y926" i="4"/>
  <c r="Y924" i="4"/>
  <c r="Y923" i="4"/>
  <c r="Y921" i="4"/>
  <c r="Y920" i="4"/>
  <c r="Y919" i="4"/>
  <c r="Y918" i="4"/>
  <c r="Y917" i="4"/>
  <c r="Y916" i="4"/>
  <c r="Y915" i="4"/>
  <c r="Y914" i="4"/>
  <c r="Y913" i="4"/>
  <c r="Y910" i="4"/>
  <c r="Y909" i="4"/>
  <c r="Y906" i="4"/>
  <c r="Y904" i="4"/>
  <c r="Y903" i="4"/>
  <c r="Y902" i="4"/>
  <c r="Y900" i="4"/>
  <c r="Y897" i="4"/>
  <c r="Y894" i="4"/>
  <c r="Y884" i="4"/>
  <c r="Y879" i="4"/>
  <c r="Y846" i="4"/>
  <c r="Y844" i="4"/>
  <c r="Y840" i="4"/>
  <c r="Y839" i="4"/>
  <c r="Y828" i="4"/>
  <c r="Y827" i="4"/>
  <c r="Y826" i="4"/>
  <c r="Y825" i="4"/>
  <c r="Y824" i="4"/>
  <c r="Y823" i="4"/>
  <c r="Y822" i="4"/>
  <c r="Y818" i="4"/>
  <c r="Y817" i="4"/>
  <c r="Y815" i="4"/>
  <c r="Y814" i="4"/>
  <c r="Y812" i="4"/>
  <c r="Y811" i="4"/>
  <c r="Y810" i="4"/>
  <c r="Y809" i="4"/>
  <c r="Y808" i="4"/>
  <c r="Y807" i="4"/>
  <c r="Y806" i="4"/>
  <c r="Y805" i="4"/>
  <c r="Y804" i="4"/>
  <c r="Y801" i="4"/>
  <c r="Y800" i="4"/>
  <c r="Y797" i="4"/>
  <c r="Y795" i="4"/>
  <c r="Y794" i="4"/>
  <c r="Y793" i="4"/>
  <c r="Y791" i="4"/>
  <c r="Y788" i="4"/>
  <c r="Y785" i="4"/>
  <c r="Y774" i="4"/>
  <c r="Y769" i="4"/>
  <c r="Y763" i="4"/>
  <c r="Y736" i="4"/>
  <c r="Y734" i="4"/>
  <c r="Y730" i="4"/>
  <c r="Y729" i="4"/>
  <c r="Y724" i="4"/>
  <c r="Y723" i="4"/>
  <c r="Y722" i="4"/>
  <c r="Y721" i="4"/>
  <c r="Y720" i="4"/>
  <c r="Y719" i="4"/>
  <c r="Y718" i="4"/>
  <c r="Y717" i="4"/>
  <c r="Y716" i="4"/>
  <c r="Y715" i="4"/>
  <c r="Y714" i="4"/>
  <c r="Y713" i="4"/>
  <c r="Y712" i="4"/>
  <c r="Y711" i="4"/>
  <c r="Y710" i="4"/>
  <c r="Y709" i="4"/>
  <c r="Y708" i="4"/>
  <c r="Y707" i="4"/>
  <c r="Y706" i="4"/>
  <c r="Y704" i="4"/>
  <c r="Y703" i="4"/>
  <c r="Y701" i="4"/>
  <c r="Y700" i="4"/>
  <c r="Y699" i="4"/>
  <c r="Y696" i="4"/>
  <c r="Y694" i="4"/>
  <c r="Y693" i="4"/>
  <c r="Y692" i="4"/>
  <c r="Y690" i="4"/>
  <c r="Y689" i="4"/>
  <c r="Y688" i="4"/>
  <c r="Y687" i="4"/>
  <c r="Y684" i="4"/>
  <c r="Y683" i="4"/>
  <c r="Y680" i="4"/>
  <c r="Y678" i="4"/>
  <c r="Y667" i="4"/>
  <c r="Y665" i="4"/>
  <c r="Y664" i="4"/>
  <c r="Y653" i="4"/>
  <c r="Y652" i="4"/>
  <c r="Y651" i="4"/>
  <c r="Y650" i="4"/>
  <c r="Y647" i="4"/>
  <c r="Y646" i="4"/>
  <c r="Y644" i="4"/>
  <c r="Y643" i="4"/>
  <c r="Y642" i="4"/>
  <c r="Y641" i="4"/>
  <c r="Y640" i="4"/>
  <c r="Y639" i="4"/>
  <c r="Y638" i="4"/>
  <c r="Y637" i="4"/>
  <c r="Y636" i="4"/>
  <c r="Y635" i="4"/>
  <c r="Y634" i="4"/>
  <c r="Y633" i="4"/>
  <c r="Y632" i="4"/>
  <c r="Y631" i="4"/>
  <c r="Y630" i="4"/>
  <c r="Y629" i="4"/>
  <c r="Y626" i="4"/>
  <c r="Y625" i="4"/>
  <c r="Y622" i="4"/>
  <c r="Y621" i="4"/>
  <c r="Y619" i="4"/>
  <c r="Y618" i="4"/>
  <c r="Y615" i="4"/>
  <c r="Y614" i="4"/>
  <c r="Y613" i="4"/>
  <c r="Y609" i="4"/>
  <c r="Y606" i="4"/>
  <c r="Y601" i="4"/>
  <c r="Y599" i="4"/>
  <c r="Y598" i="4"/>
  <c r="Y597" i="4"/>
  <c r="Y581" i="4"/>
  <c r="Y580" i="4"/>
  <c r="Y573" i="4"/>
  <c r="Y571" i="4"/>
  <c r="Y570" i="4"/>
  <c r="Y569" i="4"/>
  <c r="Y568" i="4"/>
  <c r="Y567" i="4"/>
  <c r="Y566" i="4"/>
  <c r="Y565" i="4"/>
  <c r="Y564" i="4"/>
  <c r="Y563" i="4"/>
  <c r="Y562" i="4"/>
  <c r="Y561" i="4"/>
  <c r="Y560" i="4"/>
  <c r="Y559" i="4"/>
  <c r="Y558" i="4"/>
  <c r="Y557" i="4"/>
  <c r="Y556" i="4"/>
  <c r="Y551" i="4"/>
  <c r="Y550" i="4"/>
  <c r="Y549" i="4"/>
  <c r="Y547" i="4"/>
  <c r="Y546" i="4"/>
  <c r="Y544" i="4"/>
  <c r="Y543" i="4"/>
  <c r="Y541" i="4"/>
  <c r="Y540" i="4"/>
  <c r="Y536" i="4"/>
  <c r="Y534" i="4"/>
  <c r="Y531" i="4"/>
  <c r="Y530" i="4"/>
  <c r="Y516" i="4"/>
  <c r="Y511" i="4"/>
  <c r="Y510" i="4"/>
  <c r="Y509" i="4"/>
  <c r="Y507" i="4"/>
  <c r="Y506" i="4"/>
  <c r="Y505" i="4"/>
  <c r="Y504" i="4"/>
  <c r="Y503" i="4"/>
  <c r="Y501" i="4"/>
  <c r="Y499" i="4"/>
  <c r="Y496" i="4"/>
  <c r="Y495" i="4"/>
  <c r="Y494" i="4"/>
  <c r="Y493" i="4"/>
  <c r="Y491" i="4"/>
  <c r="Y488" i="4"/>
  <c r="Y486" i="4"/>
  <c r="Y484" i="4"/>
  <c r="Y482" i="4"/>
  <c r="Y481" i="4"/>
  <c r="Y479" i="4"/>
  <c r="Y478" i="4"/>
  <c r="Y472" i="4"/>
  <c r="Y470" i="4"/>
  <c r="Y467" i="4"/>
  <c r="Y466" i="4"/>
  <c r="Y464" i="4"/>
  <c r="Y459" i="4"/>
  <c r="Y458" i="4"/>
  <c r="Y456" i="4"/>
  <c r="Y455" i="4"/>
  <c r="Y452" i="4"/>
  <c r="Y451" i="4"/>
  <c r="Y450" i="4"/>
  <c r="Y449" i="4"/>
  <c r="Y448" i="4"/>
  <c r="Y447" i="4"/>
  <c r="Y446" i="4"/>
  <c r="Y445" i="4"/>
  <c r="Y444" i="4"/>
  <c r="Y443" i="4"/>
  <c r="Y442" i="4"/>
  <c r="Y441" i="4"/>
  <c r="Y440" i="4"/>
  <c r="Y439" i="4"/>
  <c r="Y438" i="4"/>
  <c r="Y437" i="4"/>
  <c r="Y436" i="4"/>
  <c r="Y435" i="4"/>
  <c r="Y434" i="4"/>
  <c r="Y433" i="4"/>
  <c r="Y431" i="4"/>
  <c r="Y425" i="4"/>
  <c r="Y421" i="4"/>
  <c r="Y410" i="4"/>
  <c r="Y406" i="4"/>
  <c r="Y403" i="4"/>
  <c r="Y395" i="4"/>
  <c r="Y393" i="4"/>
  <c r="Y389" i="4"/>
  <c r="Y388" i="4"/>
  <c r="Y387" i="4"/>
  <c r="Y376" i="4"/>
  <c r="Y374" i="4"/>
  <c r="Y373" i="4"/>
  <c r="Y372" i="4"/>
  <c r="Y370" i="4"/>
  <c r="Y369" i="4"/>
  <c r="Y367" i="4"/>
  <c r="Y366" i="4"/>
  <c r="Y365" i="4"/>
  <c r="Y364" i="4"/>
  <c r="Y363" i="4"/>
  <c r="Y362" i="4"/>
  <c r="Y361" i="4"/>
  <c r="Y360" i="4"/>
  <c r="Y359" i="4"/>
  <c r="Y357" i="4"/>
  <c r="Y356" i="4"/>
  <c r="Y355" i="4"/>
  <c r="Y351" i="4"/>
  <c r="Y349" i="4"/>
  <c r="Y347" i="4"/>
  <c r="Y346" i="4"/>
  <c r="Y345" i="4"/>
  <c r="Y344" i="4"/>
  <c r="Y342" i="4"/>
  <c r="Y341" i="4"/>
  <c r="Y340" i="4"/>
  <c r="Y337" i="4"/>
  <c r="Y336" i="4"/>
  <c r="Y335" i="4"/>
  <c r="Y334" i="4"/>
  <c r="Y332" i="4"/>
  <c r="Y328" i="4"/>
  <c r="Y327" i="4"/>
  <c r="Y324" i="4"/>
  <c r="Y310" i="4"/>
  <c r="Y309" i="4"/>
  <c r="Y308" i="4"/>
  <c r="Y307" i="4"/>
  <c r="Y306" i="4"/>
  <c r="Y305" i="4"/>
  <c r="Y303" i="4"/>
  <c r="Y301" i="4"/>
  <c r="Y300" i="4"/>
  <c r="Y298" i="4"/>
  <c r="Y297" i="4"/>
  <c r="Y296" i="4"/>
  <c r="Y295" i="4"/>
  <c r="Y294" i="4"/>
  <c r="Y293" i="4"/>
  <c r="Y292" i="4"/>
  <c r="Y291" i="4"/>
  <c r="Y290" i="4"/>
  <c r="Y289" i="4"/>
  <c r="Y288" i="4"/>
  <c r="Y287" i="4"/>
  <c r="Y285" i="4"/>
  <c r="Y281" i="4"/>
  <c r="Y280" i="4"/>
  <c r="Y279" i="4"/>
  <c r="Y278" i="4"/>
  <c r="Y276" i="4"/>
  <c r="Y273" i="4"/>
  <c r="Y272" i="4"/>
  <c r="Y270" i="4"/>
  <c r="Y268" i="4"/>
  <c r="Y265" i="4"/>
  <c r="Y264" i="4"/>
  <c r="Y263" i="4"/>
  <c r="Y251" i="4"/>
  <c r="Y250" i="4"/>
  <c r="Y249" i="4"/>
  <c r="Y248" i="4"/>
  <c r="Y247" i="4"/>
  <c r="Y246" i="4"/>
  <c r="Y245" i="4"/>
  <c r="Y244" i="4"/>
  <c r="Y242" i="4"/>
  <c r="Y241" i="4"/>
  <c r="Y240" i="4"/>
  <c r="Y239" i="4"/>
  <c r="Y238" i="4"/>
  <c r="Y237" i="4"/>
  <c r="Y236" i="4"/>
  <c r="Y235" i="4"/>
  <c r="Y234" i="4"/>
  <c r="Y233" i="4"/>
  <c r="Y232" i="4"/>
  <c r="Y231" i="4"/>
  <c r="Y230" i="4"/>
  <c r="Y229" i="4"/>
  <c r="Y228" i="4"/>
  <c r="Y227" i="4"/>
  <c r="Y226" i="4"/>
  <c r="Y225" i="4"/>
  <c r="Y223" i="4"/>
  <c r="Y220" i="4"/>
  <c r="Y218" i="4"/>
  <c r="Y217" i="4"/>
  <c r="Y216" i="4"/>
  <c r="Y215" i="4"/>
  <c r="Y214" i="4"/>
  <c r="Y213" i="4"/>
  <c r="Y211" i="4"/>
  <c r="Y210" i="4"/>
  <c r="Y204" i="4"/>
  <c r="Y203" i="4"/>
  <c r="Y202" i="4"/>
  <c r="Y201" i="4"/>
  <c r="Y200" i="4"/>
  <c r="Y199" i="4"/>
  <c r="Y198" i="4"/>
  <c r="Y197" i="4"/>
  <c r="Y196" i="4"/>
  <c r="Y194" i="4"/>
  <c r="Y193" i="4"/>
  <c r="Y192" i="4"/>
  <c r="Y191" i="4"/>
  <c r="Y190"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3" i="4"/>
  <c r="Y142" i="4"/>
  <c r="Y141" i="4"/>
  <c r="Y140" i="4"/>
  <c r="Y139" i="4"/>
  <c r="Y138" i="4"/>
  <c r="Y137" i="4"/>
  <c r="Y136" i="4"/>
  <c r="Y135" i="4"/>
  <c r="Y134" i="4"/>
  <c r="Y133" i="4"/>
  <c r="Y132" i="4"/>
  <c r="Y129" i="4"/>
  <c r="Y128" i="4"/>
  <c r="Y127" i="4"/>
  <c r="Y124" i="4"/>
  <c r="Y123" i="4"/>
  <c r="Y645" i="4"/>
  <c r="AB1151" i="4"/>
  <c r="AB1038" i="4"/>
  <c r="AB288" i="4"/>
  <c r="AB1364" i="4"/>
  <c r="AB1363" i="4"/>
  <c r="AB1362" i="4"/>
  <c r="AB1361" i="4"/>
  <c r="AB1360" i="4"/>
  <c r="AB1359" i="4"/>
  <c r="AB1358" i="4"/>
  <c r="AB1357" i="4"/>
  <c r="AB1356" i="4"/>
  <c r="AB1355" i="4"/>
  <c r="AB1354" i="4"/>
  <c r="AB1353" i="4"/>
  <c r="AB1352" i="4"/>
  <c r="AB1351" i="4"/>
  <c r="AB1350" i="4"/>
  <c r="AB1349" i="4"/>
  <c r="AB1348" i="4"/>
  <c r="AB1347" i="4"/>
  <c r="AB1346" i="4"/>
  <c r="AB1345" i="4"/>
  <c r="AB1344" i="4"/>
  <c r="AB1343" i="4"/>
  <c r="AB1342" i="4"/>
  <c r="AB1341" i="4"/>
  <c r="AB1340" i="4"/>
  <c r="AB1339" i="4"/>
  <c r="AB1338" i="4"/>
  <c r="AB1337" i="4"/>
  <c r="AB1335" i="4"/>
  <c r="AB1333" i="4"/>
  <c r="AB1332" i="4"/>
  <c r="AB1331" i="4"/>
  <c r="AB1330" i="4"/>
  <c r="AB1329" i="4"/>
  <c r="AB1328" i="4"/>
  <c r="AB1327" i="4"/>
  <c r="AB1326" i="4"/>
  <c r="AB1325" i="4"/>
  <c r="AB1324" i="4"/>
  <c r="AB1322" i="4"/>
  <c r="AB1320" i="4"/>
  <c r="AB1318" i="4"/>
  <c r="AB1317" i="4"/>
  <c r="AB1305" i="4"/>
  <c r="AB1295" i="4"/>
  <c r="AB1294" i="4"/>
  <c r="AB1293" i="4"/>
  <c r="AB1292" i="4"/>
  <c r="AB1291" i="4"/>
  <c r="AB1290" i="4"/>
  <c r="AB1289" i="4"/>
  <c r="AB1288" i="4"/>
  <c r="AB1287" i="4"/>
  <c r="AB1286" i="4"/>
  <c r="AB1285" i="4"/>
  <c r="AB1284" i="4"/>
  <c r="AB1283" i="4"/>
  <c r="AB1282" i="4"/>
  <c r="AB1281" i="4"/>
  <c r="AB1280" i="4"/>
  <c r="AB1279" i="4"/>
  <c r="AB1278" i="4"/>
  <c r="AB1277" i="4"/>
  <c r="AB1276" i="4"/>
  <c r="AB1275" i="4"/>
  <c r="AB1274" i="4"/>
  <c r="AB1273" i="4"/>
  <c r="AB1271" i="4"/>
  <c r="AB1268" i="4"/>
  <c r="AB1266" i="4"/>
  <c r="AB1265" i="4"/>
  <c r="AB1262" i="4"/>
  <c r="AB1261" i="4"/>
  <c r="AB1260" i="4"/>
  <c r="AB1258" i="4"/>
  <c r="AB1256" i="4"/>
  <c r="AB1255" i="4"/>
  <c r="AB1252" i="4"/>
  <c r="AB1251" i="4"/>
  <c r="AB1244" i="4"/>
  <c r="AB1242" i="4"/>
  <c r="AB1239" i="4"/>
  <c r="AB1236" i="4"/>
  <c r="AB1226" i="4"/>
  <c r="AB1221" i="4"/>
  <c r="AB1186" i="4"/>
  <c r="AB1169" i="4"/>
  <c r="AB1168" i="4"/>
  <c r="AB1167" i="4"/>
  <c r="AB1166" i="4"/>
  <c r="AB1165" i="4"/>
  <c r="AB1164" i="4"/>
  <c r="AB1163" i="4"/>
  <c r="AB1162" i="4"/>
  <c r="AB1161" i="4"/>
  <c r="AB1160" i="4"/>
  <c r="AB1159" i="4"/>
  <c r="AB1158" i="4"/>
  <c r="AB1157" i="4"/>
  <c r="AB1156" i="4"/>
  <c r="AB1155" i="4"/>
  <c r="AB1154" i="4"/>
  <c r="AB1153" i="4"/>
  <c r="AB1152" i="4"/>
  <c r="AB1149" i="4"/>
  <c r="AB1148" i="4"/>
  <c r="AB1147" i="4"/>
  <c r="AB1146" i="4"/>
  <c r="AB1143" i="4"/>
  <c r="AB1142" i="4"/>
  <c r="AB1141" i="4"/>
  <c r="AB1140" i="4"/>
  <c r="AB1139" i="4"/>
  <c r="AB1137" i="4"/>
  <c r="AB1136" i="4"/>
  <c r="AB1133" i="4"/>
  <c r="AB1132" i="4"/>
  <c r="AB1126" i="4"/>
  <c r="AB1125" i="4"/>
  <c r="AB1123" i="4"/>
  <c r="AB1120" i="4"/>
  <c r="AB1117" i="4"/>
  <c r="AB1107" i="4"/>
  <c r="AB1102" i="4"/>
  <c r="AB1067" i="4"/>
  <c r="AB1063" i="4"/>
  <c r="AB1053" i="4"/>
  <c r="AB1052" i="4"/>
  <c r="AB1051" i="4"/>
  <c r="AB1050" i="4"/>
  <c r="AB1049" i="4"/>
  <c r="AB1048" i="4"/>
  <c r="AB1047" i="4"/>
  <c r="AB1046" i="4"/>
  <c r="AB1045" i="4"/>
  <c r="AB1044" i="4"/>
  <c r="AB1043" i="4"/>
  <c r="AB1042" i="4"/>
  <c r="AB1041" i="4"/>
  <c r="AB1040" i="4"/>
  <c r="AB1039" i="4"/>
  <c r="AB1037" i="4"/>
  <c r="AB1036" i="4"/>
  <c r="AB1035" i="4"/>
  <c r="AB1034" i="4"/>
  <c r="AB1033" i="4"/>
  <c r="AB1030" i="4"/>
  <c r="AB1029" i="4"/>
  <c r="AB1028" i="4"/>
  <c r="AB1027" i="4"/>
  <c r="AB1026" i="4"/>
  <c r="AB1024" i="4"/>
  <c r="AB1023" i="4"/>
  <c r="AB1020" i="4"/>
  <c r="AB1019" i="4"/>
  <c r="AB1013" i="4"/>
  <c r="AB1012" i="4"/>
  <c r="AB1010" i="4"/>
  <c r="AB1007" i="4"/>
  <c r="AB1004" i="4"/>
  <c r="AB994" i="4"/>
  <c r="AB989" i="4"/>
  <c r="AB956" i="4"/>
  <c r="AB954" i="4"/>
  <c r="AB950" i="4"/>
  <c r="AB936" i="4"/>
  <c r="AB935" i="4"/>
  <c r="AB934" i="4"/>
  <c r="AB932" i="4"/>
  <c r="AB931" i="4"/>
  <c r="AB930" i="4"/>
  <c r="AB928" i="4"/>
  <c r="AB927" i="4"/>
  <c r="AB926" i="4"/>
  <c r="AB924" i="4"/>
  <c r="AB923" i="4"/>
  <c r="AB921" i="4"/>
  <c r="AB920" i="4"/>
  <c r="AB919" i="4"/>
  <c r="AB918" i="4"/>
  <c r="AB917" i="4"/>
  <c r="AB916" i="4"/>
  <c r="AB915" i="4"/>
  <c r="AB914" i="4"/>
  <c r="AB913" i="4"/>
  <c r="AB910" i="4"/>
  <c r="AB909" i="4"/>
  <c r="AB906" i="4"/>
  <c r="AB904" i="4"/>
  <c r="AB903" i="4"/>
  <c r="AB902" i="4"/>
  <c r="AB900" i="4"/>
  <c r="AB897" i="4"/>
  <c r="AB894" i="4"/>
  <c r="AB884" i="4"/>
  <c r="AB879" i="4"/>
  <c r="AB846" i="4"/>
  <c r="AB844" i="4"/>
  <c r="AB840" i="4"/>
  <c r="AB839" i="4"/>
  <c r="AB824" i="4"/>
  <c r="AB823" i="4"/>
  <c r="AB822" i="4"/>
  <c r="AB818" i="4"/>
  <c r="AB817" i="4"/>
  <c r="AB815" i="4"/>
  <c r="AB814" i="4"/>
  <c r="AB812" i="4"/>
  <c r="AB811" i="4"/>
  <c r="AB810" i="4"/>
  <c r="AB809" i="4"/>
  <c r="AB808" i="4"/>
  <c r="AB807" i="4"/>
  <c r="AB806" i="4"/>
  <c r="AB805" i="4"/>
  <c r="AB804" i="4"/>
  <c r="AB801" i="4"/>
  <c r="AB800" i="4"/>
  <c r="AB797" i="4"/>
  <c r="AB795" i="4"/>
  <c r="AB794" i="4"/>
  <c r="AB793" i="4"/>
  <c r="AB791" i="4"/>
  <c r="AB788" i="4"/>
  <c r="AB785" i="4"/>
  <c r="AB774" i="4"/>
  <c r="AB769" i="4"/>
  <c r="AB763" i="4"/>
  <c r="AB736" i="4"/>
  <c r="AB734" i="4"/>
  <c r="AB730" i="4"/>
  <c r="AB729" i="4"/>
  <c r="AB714" i="4"/>
  <c r="AB713" i="4"/>
  <c r="AB712" i="4"/>
  <c r="AB711" i="4"/>
  <c r="AB710" i="4"/>
  <c r="AB709" i="4"/>
  <c r="AB708" i="4"/>
  <c r="AB707" i="4"/>
  <c r="AB706" i="4"/>
  <c r="AB704" i="4"/>
  <c r="AB703" i="4"/>
  <c r="AB701" i="4"/>
  <c r="AB700" i="4"/>
  <c r="AB699" i="4"/>
  <c r="AB696" i="4"/>
  <c r="AB694" i="4"/>
  <c r="AB693" i="4"/>
  <c r="AB692" i="4"/>
  <c r="AB690" i="4"/>
  <c r="AB689" i="4"/>
  <c r="AB688" i="4"/>
  <c r="AB684" i="4"/>
  <c r="AB683" i="4"/>
  <c r="AB680" i="4"/>
  <c r="AB678" i="4"/>
  <c r="AB667" i="4"/>
  <c r="AB665" i="4"/>
  <c r="AB664" i="4"/>
  <c r="AB643" i="4"/>
  <c r="AB641" i="4"/>
  <c r="AB640" i="4"/>
  <c r="AB638" i="4"/>
  <c r="AB637" i="4"/>
  <c r="AB636" i="4"/>
  <c r="AB635" i="4"/>
  <c r="AB634" i="4"/>
  <c r="AB633" i="4"/>
  <c r="AB632" i="4"/>
  <c r="AB631" i="4"/>
  <c r="AB629" i="4"/>
  <c r="AB626" i="4"/>
  <c r="AB625" i="4"/>
  <c r="AB622" i="4"/>
  <c r="AB621" i="4"/>
  <c r="AB619" i="4"/>
  <c r="AB618" i="4"/>
  <c r="AB615" i="4"/>
  <c r="AB614" i="4"/>
  <c r="AB613" i="4"/>
  <c r="AB609" i="4"/>
  <c r="AB606" i="4"/>
  <c r="AB601" i="4"/>
  <c r="AB599" i="4"/>
  <c r="AB598" i="4"/>
  <c r="AB597" i="4"/>
  <c r="AB567" i="4"/>
  <c r="AB464" i="4"/>
  <c r="AB452" i="4"/>
  <c r="AB450" i="4"/>
  <c r="AB449" i="4"/>
  <c r="AB448" i="4"/>
  <c r="AB447" i="4"/>
  <c r="AB446" i="4"/>
  <c r="AB445" i="4"/>
  <c r="AB444" i="4"/>
  <c r="AB442" i="4"/>
  <c r="AB441" i="4"/>
  <c r="AB440" i="4"/>
  <c r="AB439" i="4"/>
  <c r="AB438" i="4"/>
  <c r="AB437" i="4"/>
  <c r="AB436" i="4"/>
  <c r="AB435" i="4"/>
  <c r="AB434" i="4"/>
  <c r="AB433" i="4"/>
  <c r="AB431" i="4"/>
  <c r="AB425" i="4"/>
  <c r="AB421" i="4"/>
  <c r="AB410" i="4"/>
  <c r="AB406" i="4"/>
  <c r="AB403" i="4"/>
  <c r="AB395" i="4"/>
  <c r="AB393" i="4"/>
  <c r="AB389" i="4"/>
  <c r="AB388" i="4"/>
  <c r="AB387" i="4"/>
  <c r="AB365" i="4"/>
  <c r="AB364" i="4"/>
  <c r="AB363" i="4"/>
  <c r="AB362" i="4"/>
  <c r="AB361" i="4"/>
  <c r="AB360" i="4"/>
  <c r="AB359" i="4"/>
  <c r="AB357" i="4"/>
  <c r="AB356" i="4"/>
  <c r="AB355" i="4"/>
  <c r="AB351" i="4"/>
  <c r="AB349" i="4"/>
  <c r="AB347" i="4"/>
  <c r="AB346" i="4"/>
  <c r="AB345" i="4"/>
  <c r="AB344" i="4"/>
  <c r="AB342" i="4"/>
  <c r="AB341" i="4"/>
  <c r="AB340" i="4"/>
  <c r="AB337" i="4"/>
  <c r="AB336" i="4"/>
  <c r="AB335" i="4"/>
  <c r="AB334" i="4"/>
  <c r="AB332" i="4"/>
  <c r="AB328" i="4"/>
  <c r="AB327" i="4"/>
  <c r="AB298" i="4"/>
  <c r="AB297" i="4"/>
  <c r="AB296" i="4"/>
  <c r="AB295" i="4"/>
  <c r="AB294" i="4"/>
  <c r="AB293" i="4"/>
  <c r="AB292" i="4"/>
  <c r="AB291" i="4"/>
  <c r="AB290" i="4"/>
  <c r="AB289" i="4"/>
  <c r="AB287" i="4"/>
  <c r="AB285" i="4"/>
  <c r="AB281" i="4"/>
  <c r="AB280" i="4"/>
  <c r="AB279" i="4"/>
  <c r="AB278" i="4"/>
  <c r="AB276" i="4"/>
  <c r="AB273" i="4"/>
  <c r="AB272" i="4"/>
  <c r="AB270" i="4"/>
  <c r="AB268" i="4"/>
  <c r="AB265" i="4"/>
  <c r="AB264" i="4"/>
  <c r="AB263" i="4"/>
  <c r="AB240" i="4"/>
  <c r="AB239" i="4"/>
  <c r="AB238" i="4"/>
  <c r="AB237" i="4"/>
  <c r="AB236" i="4"/>
  <c r="AB235" i="4"/>
  <c r="AB234" i="4"/>
  <c r="AB233" i="4"/>
  <c r="AB232" i="4"/>
  <c r="AB231" i="4"/>
  <c r="AB230" i="4"/>
  <c r="AB229" i="4"/>
  <c r="AB228" i="4"/>
  <c r="AB227" i="4"/>
  <c r="AB226" i="4"/>
  <c r="AB225" i="4"/>
  <c r="AB223" i="4"/>
  <c r="AB220" i="4"/>
  <c r="AB218" i="4"/>
  <c r="AB217" i="4"/>
  <c r="AB216" i="4"/>
  <c r="AB214" i="4"/>
  <c r="AB213" i="4"/>
  <c r="AB211" i="4"/>
  <c r="AB210" i="4"/>
  <c r="AB196" i="4"/>
  <c r="AB194" i="4"/>
  <c r="AB193" i="4"/>
  <c r="AB192" i="4"/>
  <c r="AB191" i="4"/>
  <c r="AB190" i="4"/>
  <c r="AB188" i="4"/>
  <c r="AB187" i="4"/>
  <c r="AB186" i="4"/>
  <c r="AB185" i="4"/>
  <c r="AB184" i="4"/>
  <c r="AB183" i="4"/>
  <c r="AB182" i="4"/>
  <c r="AB181" i="4"/>
  <c r="AB180" i="4"/>
  <c r="AB179" i="4"/>
  <c r="AB178" i="4"/>
  <c r="AB177" i="4"/>
  <c r="AB176" i="4"/>
  <c r="AB175" i="4"/>
  <c r="AB174" i="4"/>
  <c r="AB173" i="4"/>
  <c r="AB172" i="4"/>
  <c r="AB171" i="4"/>
  <c r="AB161" i="4"/>
  <c r="AB160" i="4"/>
  <c r="AB159" i="4"/>
  <c r="AB158" i="4"/>
  <c r="AB157" i="4"/>
  <c r="AB156" i="4"/>
  <c r="AB155" i="4"/>
  <c r="AB154" i="4"/>
  <c r="AB153" i="4"/>
  <c r="AB152" i="4"/>
  <c r="AB151" i="4"/>
  <c r="AB150" i="4"/>
  <c r="AB149" i="4"/>
  <c r="AB148" i="4"/>
  <c r="AB147" i="4"/>
  <c r="AB146" i="4"/>
  <c r="AB145" i="4"/>
  <c r="AB132" i="4"/>
  <c r="AB129" i="4"/>
  <c r="AB128" i="4"/>
  <c r="AB124" i="4"/>
  <c r="AB215" i="4"/>
  <c r="AB516" i="4"/>
  <c r="AB366" i="4"/>
  <c r="AB466" i="4"/>
  <c r="AB467" i="4"/>
  <c r="AB470" i="4"/>
  <c r="AB472" i="4"/>
  <c r="AB478" i="4"/>
  <c r="AB479" i="4"/>
  <c r="AB481" i="4"/>
  <c r="AB482" i="4"/>
  <c r="AB484" i="4"/>
  <c r="AB486" i="4"/>
  <c r="AB488" i="4"/>
  <c r="AB491" i="4"/>
  <c r="AB493" i="4"/>
  <c r="AB494" i="4"/>
  <c r="AB495" i="4"/>
  <c r="AB496" i="4"/>
  <c r="AB499" i="4"/>
  <c r="AB501" i="4"/>
  <c r="AB503" i="4"/>
  <c r="AB506" i="4"/>
  <c r="AB507" i="4"/>
  <c r="AB509" i="4"/>
  <c r="AB510" i="4"/>
  <c r="AB530" i="4"/>
  <c r="AB531" i="4"/>
  <c r="AB534" i="4"/>
  <c r="AB536" i="4"/>
  <c r="AB540" i="4"/>
  <c r="AB541" i="4"/>
  <c r="AB543" i="4"/>
  <c r="AB544" i="4"/>
  <c r="AB546" i="4"/>
  <c r="AB547" i="4"/>
  <c r="AB549" i="4"/>
  <c r="AB550" i="4"/>
  <c r="AB551" i="4"/>
  <c r="AB556" i="4"/>
  <c r="AB557" i="4"/>
  <c r="AB559" i="4"/>
  <c r="AB560" i="4"/>
  <c r="AB561" i="4"/>
  <c r="AB562" i="4"/>
  <c r="AB563" i="4"/>
  <c r="AB564" i="4"/>
  <c r="AB565" i="4"/>
  <c r="AB566" i="4"/>
  <c r="AB569" i="4"/>
  <c r="AB570" i="4"/>
  <c r="AB630" i="4"/>
  <c r="AB639" i="4"/>
  <c r="AB642" i="4"/>
  <c r="AB558" i="4"/>
  <c r="AB568" i="4"/>
  <c r="AB571" i="4"/>
  <c r="AB573" i="4"/>
  <c r="AB457" i="4"/>
  <c r="AB1106" i="4"/>
  <c r="AB572" i="4"/>
  <c r="AB130" i="4"/>
  <c r="AB131" i="4"/>
  <c r="AB189" i="4"/>
  <c r="AB195" i="4"/>
  <c r="AB205" i="4"/>
  <c r="AB206" i="4"/>
  <c r="AB207" i="4"/>
  <c r="AB208" i="4"/>
  <c r="AB209" i="4"/>
  <c r="AB212" i="4"/>
  <c r="AB219" i="4"/>
  <c r="AB221" i="4"/>
  <c r="AB222" i="4"/>
  <c r="AB224" i="4"/>
  <c r="AB253" i="4"/>
  <c r="AB254" i="4"/>
  <c r="AB255" i="4"/>
  <c r="AB256" i="4"/>
  <c r="AB257" i="4"/>
  <c r="AB258" i="4"/>
  <c r="AB259" i="4"/>
  <c r="AB260" i="4"/>
  <c r="AB261" i="4"/>
  <c r="AB262" i="4"/>
  <c r="AB266" i="4"/>
  <c r="AB267" i="4"/>
  <c r="AB269" i="4"/>
  <c r="AB271" i="4"/>
  <c r="AB274" i="4"/>
  <c r="AB275" i="4"/>
  <c r="AB277" i="4"/>
  <c r="AB282" i="4"/>
  <c r="AB283" i="4"/>
  <c r="AB284" i="4"/>
  <c r="AB286" i="4"/>
  <c r="AB299" i="4"/>
  <c r="AB313" i="4"/>
  <c r="AB314" i="4"/>
  <c r="AB315" i="4"/>
  <c r="AB316" i="4"/>
  <c r="AB317" i="4"/>
  <c r="AB318" i="4"/>
  <c r="AB319" i="4"/>
  <c r="AB320" i="4"/>
  <c r="AB321" i="4"/>
  <c r="AB322" i="4"/>
  <c r="AB323" i="4"/>
  <c r="AB325" i="4"/>
  <c r="AB326" i="4"/>
  <c r="AB329" i="4"/>
  <c r="AB330" i="4"/>
  <c r="AB331" i="4"/>
  <c r="AB333" i="4"/>
  <c r="AB338" i="4"/>
  <c r="AB339" i="4"/>
  <c r="AB343" i="4"/>
  <c r="AB348" i="4"/>
  <c r="AB350" i="4"/>
  <c r="AB352" i="4"/>
  <c r="AB353" i="4"/>
  <c r="AB354" i="4"/>
  <c r="AB358" i="4"/>
  <c r="AB381" i="4"/>
  <c r="AB382" i="4"/>
  <c r="AB383" i="4"/>
  <c r="AB384" i="4"/>
  <c r="AB385" i="4"/>
  <c r="AB386" i="4"/>
  <c r="AB390" i="4"/>
  <c r="AB391" i="4"/>
  <c r="AB392" i="4"/>
  <c r="AB394" i="4"/>
  <c r="AB396" i="4"/>
  <c r="AB397" i="4"/>
  <c r="AB398" i="4"/>
  <c r="AB399" i="4"/>
  <c r="AB400" i="4"/>
  <c r="AB401" i="4"/>
  <c r="AB402" i="4"/>
  <c r="AB404" i="4"/>
  <c r="AB405" i="4"/>
  <c r="AB407" i="4"/>
  <c r="AB408" i="4"/>
  <c r="AB409" i="4"/>
  <c r="AB411" i="4"/>
  <c r="AB412" i="4"/>
  <c r="AB413" i="4"/>
  <c r="AB414" i="4"/>
  <c r="AB415" i="4"/>
  <c r="AB416" i="4"/>
  <c r="AB417" i="4"/>
  <c r="AB418" i="4"/>
  <c r="AB419" i="4"/>
  <c r="AB420" i="4"/>
  <c r="AB422" i="4"/>
  <c r="AB423" i="4"/>
  <c r="AB424" i="4"/>
  <c r="AB426" i="4"/>
  <c r="AB427" i="4"/>
  <c r="AB428" i="4"/>
  <c r="AB429" i="4"/>
  <c r="AB430" i="4"/>
  <c r="AB432" i="4"/>
  <c r="AB460" i="4"/>
  <c r="AB461" i="4"/>
  <c r="AB462" i="4"/>
  <c r="AB463" i="4"/>
  <c r="AB465" i="4"/>
  <c r="AB468" i="4"/>
  <c r="AB471" i="4"/>
  <c r="AB473" i="4"/>
  <c r="AB474" i="4"/>
  <c r="AB475" i="4"/>
  <c r="AB476" i="4"/>
  <c r="AB477" i="4"/>
  <c r="AB480" i="4"/>
  <c r="AB483" i="4"/>
  <c r="AB485" i="4"/>
  <c r="AB487" i="4"/>
  <c r="AB489" i="4"/>
  <c r="AB492" i="4"/>
  <c r="AB497" i="4"/>
  <c r="AB502" i="4"/>
  <c r="AB508" i="4"/>
  <c r="AB519" i="4"/>
  <c r="AB520" i="4"/>
  <c r="AB521" i="4"/>
  <c r="AB522" i="4"/>
  <c r="AB523" i="4"/>
  <c r="AB524" i="4"/>
  <c r="AB525" i="4"/>
  <c r="AB526" i="4"/>
  <c r="AB527" i="4"/>
  <c r="AB528" i="4"/>
  <c r="AB529" i="4"/>
  <c r="AB532" i="4"/>
  <c r="AB535" i="4"/>
  <c r="AB537" i="4"/>
  <c r="AB538" i="4"/>
  <c r="AB539" i="4"/>
  <c r="AB542" i="4"/>
  <c r="AB545" i="4"/>
  <c r="AB548" i="4"/>
  <c r="AB552" i="4"/>
  <c r="AB553" i="4"/>
  <c r="AB554" i="4"/>
  <c r="AB555" i="4"/>
  <c r="AB574" i="4"/>
  <c r="AB586" i="4"/>
  <c r="AB587" i="4"/>
  <c r="AB588" i="4"/>
  <c r="AB589" i="4"/>
  <c r="AB590" i="4"/>
  <c r="AB591" i="4"/>
  <c r="AB592" i="4"/>
  <c r="AB593" i="4"/>
  <c r="AB594" i="4"/>
  <c r="AB595" i="4"/>
  <c r="AB596" i="4"/>
  <c r="AB600" i="4"/>
  <c r="AB602" i="4"/>
  <c r="AB603" i="4"/>
  <c r="AB604" i="4"/>
  <c r="AB605" i="4"/>
  <c r="AB607" i="4"/>
  <c r="AB608" i="4"/>
  <c r="AB610" i="4"/>
  <c r="AB611" i="4"/>
  <c r="AB612" i="4"/>
  <c r="AB616" i="4"/>
  <c r="AB617" i="4"/>
  <c r="AB620" i="4"/>
  <c r="AB623" i="4"/>
  <c r="AB624" i="4"/>
  <c r="AB627" i="4"/>
  <c r="AB628" i="4"/>
  <c r="AB654" i="4"/>
  <c r="AB655" i="4"/>
  <c r="AB656" i="4"/>
  <c r="AB657" i="4"/>
  <c r="AB658" i="4"/>
  <c r="AB659" i="4"/>
  <c r="AB660" i="4"/>
  <c r="AB661" i="4"/>
  <c r="AB662" i="4"/>
  <c r="AB663" i="4"/>
  <c r="AB666" i="4"/>
  <c r="AB668" i="4"/>
  <c r="AB669" i="4"/>
  <c r="AB670" i="4"/>
  <c r="AB671" i="4"/>
  <c r="AB672" i="4"/>
  <c r="AB673" i="4"/>
  <c r="AB674" i="4"/>
  <c r="AB675" i="4"/>
  <c r="AB676" i="4"/>
  <c r="AB677" i="4"/>
  <c r="AB679" i="4"/>
  <c r="AB681" i="4"/>
  <c r="AB682" i="4"/>
  <c r="AB685" i="4"/>
  <c r="AB691" i="4"/>
  <c r="AB695" i="4"/>
  <c r="AB697" i="4"/>
  <c r="AB698" i="4"/>
  <c r="AB702" i="4"/>
  <c r="AB725" i="4"/>
  <c r="AB726" i="4"/>
  <c r="AB727" i="4"/>
  <c r="AB728" i="4"/>
  <c r="AB731" i="4"/>
  <c r="AB732" i="4"/>
  <c r="AB733" i="4"/>
  <c r="AB735" i="4"/>
  <c r="AB737" i="4"/>
  <c r="AB738" i="4"/>
  <c r="AB739" i="4"/>
  <c r="AB740" i="4"/>
  <c r="AB741" i="4"/>
  <c r="AB742" i="4"/>
  <c r="AB743" i="4"/>
  <c r="AB744" i="4"/>
  <c r="AB745" i="4"/>
  <c r="AB746" i="4"/>
  <c r="AB747" i="4"/>
  <c r="AB748" i="4"/>
  <c r="AB749" i="4"/>
  <c r="AB750" i="4"/>
  <c r="AB751" i="4"/>
  <c r="AB752" i="4"/>
  <c r="AB753" i="4"/>
  <c r="AB754" i="4"/>
  <c r="AB755" i="4"/>
  <c r="AB756" i="4"/>
  <c r="AB757" i="4"/>
  <c r="AB758" i="4"/>
  <c r="AB759" i="4"/>
  <c r="AB760" i="4"/>
  <c r="AB761" i="4"/>
  <c r="AB762" i="4"/>
  <c r="AB764" i="4"/>
  <c r="AB765" i="4"/>
  <c r="AB766" i="4"/>
  <c r="AB767" i="4"/>
  <c r="AB768" i="4"/>
  <c r="AB770" i="4"/>
  <c r="AB771" i="4"/>
  <c r="AB772" i="4"/>
  <c r="AB773" i="4"/>
  <c r="AB775" i="4"/>
  <c r="AB776" i="4"/>
  <c r="AB777" i="4"/>
  <c r="AB778" i="4"/>
  <c r="AB779" i="4"/>
  <c r="AB780" i="4"/>
  <c r="AB781" i="4"/>
  <c r="AB782" i="4"/>
  <c r="AB783" i="4"/>
  <c r="AB784" i="4"/>
  <c r="AB786" i="4"/>
  <c r="AB787" i="4"/>
  <c r="AB789" i="4"/>
  <c r="AB790" i="4"/>
  <c r="AB792" i="4"/>
  <c r="AB796" i="4"/>
  <c r="AB798" i="4"/>
  <c r="AB799" i="4"/>
  <c r="AB802" i="4"/>
  <c r="AB803" i="4"/>
  <c r="AB813" i="4"/>
  <c r="AB816" i="4"/>
  <c r="AB819" i="4"/>
  <c r="AB820" i="4"/>
  <c r="AB821" i="4"/>
  <c r="AB829" i="4"/>
  <c r="AB830" i="4"/>
  <c r="AB831" i="4"/>
  <c r="AB832" i="4"/>
  <c r="AB833" i="4"/>
  <c r="AB834" i="4"/>
  <c r="AB835" i="4"/>
  <c r="AB836" i="4"/>
  <c r="AB837" i="4"/>
  <c r="AB838" i="4"/>
  <c r="AB841" i="4"/>
  <c r="AB842" i="4"/>
  <c r="AB843" i="4"/>
  <c r="AB845" i="4"/>
  <c r="AB847" i="4"/>
  <c r="AB848" i="4"/>
  <c r="AB849" i="4"/>
  <c r="AB850" i="4"/>
  <c r="AB851" i="4"/>
  <c r="AB852" i="4"/>
  <c r="AB853" i="4"/>
  <c r="AB854" i="4"/>
  <c r="AB855" i="4"/>
  <c r="AB856" i="4"/>
  <c r="AB857" i="4"/>
  <c r="AB858" i="4"/>
  <c r="AB859" i="4"/>
  <c r="AB860" i="4"/>
  <c r="AB861" i="4"/>
  <c r="AB862" i="4"/>
  <c r="AB863" i="4"/>
  <c r="AB864" i="4"/>
  <c r="AB865" i="4"/>
  <c r="AB866" i="4"/>
  <c r="AB867" i="4"/>
  <c r="AB868" i="4"/>
  <c r="AB869" i="4"/>
  <c r="AB870" i="4"/>
  <c r="AB871" i="4"/>
  <c r="AB872" i="4"/>
  <c r="AB873" i="4"/>
  <c r="AB874" i="4"/>
  <c r="AB875" i="4"/>
  <c r="AB876" i="4"/>
  <c r="AB877" i="4"/>
  <c r="AB878" i="4"/>
  <c r="AB880" i="4"/>
  <c r="AB881" i="4"/>
  <c r="AB882" i="4"/>
  <c r="AB883" i="4"/>
  <c r="AB885" i="4"/>
  <c r="AB886" i="4"/>
  <c r="AB887" i="4"/>
  <c r="AB888" i="4"/>
  <c r="AB889" i="4"/>
  <c r="AB890" i="4"/>
  <c r="AB891" i="4"/>
  <c r="AB892" i="4"/>
  <c r="AB893" i="4"/>
  <c r="AB895" i="4"/>
  <c r="AB896" i="4"/>
  <c r="AB898" i="4"/>
  <c r="AB899" i="4"/>
  <c r="AB901" i="4"/>
  <c r="AB905" i="4"/>
  <c r="AB907" i="4"/>
  <c r="AB908" i="4"/>
  <c r="AB911" i="4"/>
  <c r="AB912" i="4"/>
  <c r="AB922" i="4"/>
  <c r="AB925" i="4"/>
  <c r="AB929" i="4"/>
  <c r="AB933" i="4"/>
  <c r="AB947" i="4"/>
  <c r="AB948" i="4"/>
  <c r="AB949" i="4"/>
  <c r="AB951" i="4"/>
  <c r="AB952" i="4"/>
  <c r="AB953" i="4"/>
  <c r="AB955" i="4"/>
  <c r="AB957" i="4"/>
  <c r="AB958" i="4"/>
  <c r="AB959" i="4"/>
  <c r="AB960" i="4"/>
  <c r="AB961" i="4"/>
  <c r="AB962" i="4"/>
  <c r="AB963" i="4"/>
  <c r="AB964" i="4"/>
  <c r="AB965" i="4"/>
  <c r="AB966" i="4"/>
  <c r="AB967" i="4"/>
  <c r="AB968" i="4"/>
  <c r="AB969" i="4"/>
  <c r="AB970" i="4"/>
  <c r="AB971" i="4"/>
  <c r="AB972" i="4"/>
  <c r="AB973" i="4"/>
  <c r="AB974" i="4"/>
  <c r="AB975" i="4"/>
  <c r="AB976" i="4"/>
  <c r="AB977" i="4"/>
  <c r="AB978" i="4"/>
  <c r="AB979" i="4"/>
  <c r="AB980" i="4"/>
  <c r="AB981" i="4"/>
  <c r="AB982" i="4"/>
  <c r="AB983" i="4"/>
  <c r="AB984" i="4"/>
  <c r="AB985" i="4"/>
  <c r="AB986" i="4"/>
  <c r="AB987" i="4"/>
  <c r="AB988" i="4"/>
  <c r="AB990" i="4"/>
  <c r="AB991" i="4"/>
  <c r="AB992" i="4"/>
  <c r="AB993" i="4"/>
  <c r="AB995" i="4"/>
  <c r="AB996" i="4"/>
  <c r="AB997" i="4"/>
  <c r="AB998" i="4"/>
  <c r="AB999" i="4"/>
  <c r="AB1000" i="4"/>
  <c r="AB1001" i="4"/>
  <c r="AB1002" i="4"/>
  <c r="AB1003" i="4"/>
  <c r="AB1005" i="4"/>
  <c r="AB1006" i="4"/>
  <c r="AB1008" i="4"/>
  <c r="AB1009" i="4"/>
  <c r="AB1011" i="4"/>
  <c r="AB1014" i="4"/>
  <c r="AB1015" i="4"/>
  <c r="AB1016" i="4"/>
  <c r="AB1017" i="4"/>
  <c r="AB1018" i="4"/>
  <c r="AB1021" i="4"/>
  <c r="AB1022" i="4"/>
  <c r="AB1025" i="4"/>
  <c r="AB1031" i="4"/>
  <c r="AB1032" i="4"/>
  <c r="AB1057" i="4"/>
  <c r="AB1058" i="4"/>
  <c r="AB1059" i="4"/>
  <c r="AB1060" i="4"/>
  <c r="AB1061" i="4"/>
  <c r="AB1062" i="4"/>
  <c r="AB1064" i="4"/>
  <c r="AB1065" i="4"/>
  <c r="AB1066" i="4"/>
  <c r="AB1068" i="4"/>
  <c r="AB1069" i="4"/>
  <c r="AB1070" i="4"/>
  <c r="AB1071" i="4"/>
  <c r="AB1072" i="4"/>
  <c r="AB1073" i="4"/>
  <c r="AB1074" i="4"/>
  <c r="AB1075" i="4"/>
  <c r="AB1076" i="4"/>
  <c r="AB1077" i="4"/>
  <c r="AB1078" i="4"/>
  <c r="AB1079" i="4"/>
  <c r="AB1080" i="4"/>
  <c r="AB1081" i="4"/>
  <c r="AB1082" i="4"/>
  <c r="AB1083" i="4"/>
  <c r="AB1084" i="4"/>
  <c r="AB1085" i="4"/>
  <c r="AB1086" i="4"/>
  <c r="AB1087" i="4"/>
  <c r="AB1088" i="4"/>
  <c r="AB1089" i="4"/>
  <c r="AB1090" i="4"/>
  <c r="AB1091" i="4"/>
  <c r="AB1092" i="4"/>
  <c r="AB1093" i="4"/>
  <c r="AB1094" i="4"/>
  <c r="AB1095" i="4"/>
  <c r="AB1096" i="4"/>
  <c r="AB1097" i="4"/>
  <c r="AB1098" i="4"/>
  <c r="AB1099" i="4"/>
  <c r="AB1100" i="4"/>
  <c r="AB1101" i="4"/>
  <c r="AB1103" i="4"/>
  <c r="AB1104" i="4"/>
  <c r="AB1105" i="4"/>
  <c r="AB1108" i="4"/>
  <c r="AB1109" i="4"/>
  <c r="AB1110" i="4"/>
  <c r="AB1111" i="4"/>
  <c r="AB1112" i="4"/>
  <c r="AB1113" i="4"/>
  <c r="AB1114" i="4"/>
  <c r="AB1115" i="4"/>
  <c r="AB1116" i="4"/>
  <c r="AB1118" i="4"/>
  <c r="AB1119" i="4"/>
  <c r="AB1121" i="4"/>
  <c r="AB1122" i="4"/>
  <c r="AB1124" i="4"/>
  <c r="AB1127" i="4"/>
  <c r="AB1128" i="4"/>
  <c r="AB1129" i="4"/>
  <c r="AB1130" i="4"/>
  <c r="AB1131" i="4"/>
  <c r="AB1134" i="4"/>
  <c r="AB1135" i="4"/>
  <c r="AB1138" i="4"/>
  <c r="AB1144" i="4"/>
  <c r="AB1145" i="4"/>
  <c r="AB1150" i="4"/>
  <c r="AB1176" i="4"/>
  <c r="AB1177" i="4"/>
  <c r="AB1178" i="4"/>
  <c r="AB1179" i="4"/>
  <c r="AB1180" i="4"/>
  <c r="AB1181" i="4"/>
  <c r="AB1182" i="4"/>
  <c r="AB1183" i="4"/>
  <c r="AB1184" i="4"/>
  <c r="AB1185" i="4"/>
  <c r="AB1187" i="4"/>
  <c r="AB1188" i="4"/>
  <c r="AB1189" i="4"/>
  <c r="AB1190" i="4"/>
  <c r="AB1191" i="4"/>
  <c r="AB1192" i="4"/>
  <c r="AB1193" i="4"/>
  <c r="AB1194" i="4"/>
  <c r="AB1195" i="4"/>
  <c r="AB1196" i="4"/>
  <c r="AB1197" i="4"/>
  <c r="AB1198" i="4"/>
  <c r="AB1199" i="4"/>
  <c r="AB1200" i="4"/>
  <c r="AB1201" i="4"/>
  <c r="AB1202" i="4"/>
  <c r="AB1203" i="4"/>
  <c r="AB1204" i="4"/>
  <c r="AB1205" i="4"/>
  <c r="AB1206" i="4"/>
  <c r="AB1207" i="4"/>
  <c r="AB1208" i="4"/>
  <c r="AB1209" i="4"/>
  <c r="AB1210" i="4"/>
  <c r="AB1211" i="4"/>
  <c r="AB1212" i="4"/>
  <c r="AB1213" i="4"/>
  <c r="AB1214" i="4"/>
  <c r="AB1215" i="4"/>
  <c r="AB1216" i="4"/>
  <c r="AB1217" i="4"/>
  <c r="AB1218" i="4"/>
  <c r="AB1219" i="4"/>
  <c r="AB1220" i="4"/>
  <c r="AB1222" i="4"/>
  <c r="AB1223" i="4"/>
  <c r="AB1224" i="4"/>
  <c r="AB1225" i="4"/>
  <c r="AB1227" i="4"/>
  <c r="AB1228" i="4"/>
  <c r="AB1229" i="4"/>
  <c r="AB1230" i="4"/>
  <c r="AB1231" i="4"/>
  <c r="AB1232" i="4"/>
  <c r="AB1233" i="4"/>
  <c r="AB1234" i="4"/>
  <c r="AB1235" i="4"/>
  <c r="AB1237" i="4"/>
  <c r="AB1238" i="4"/>
  <c r="AB1240" i="4"/>
  <c r="AB1241" i="4"/>
  <c r="AB1243" i="4"/>
  <c r="AB1245" i="4"/>
  <c r="AB1246" i="4"/>
  <c r="AB1247" i="4"/>
  <c r="AB1248" i="4"/>
  <c r="AB1249" i="4"/>
  <c r="AB1250" i="4"/>
  <c r="AB1253" i="4"/>
  <c r="AB1254" i="4"/>
  <c r="AB1257" i="4"/>
  <c r="AB1259" i="4"/>
  <c r="AB1263" i="4"/>
  <c r="AB1264" i="4"/>
  <c r="AB1267" i="4"/>
  <c r="AB1269" i="4"/>
  <c r="AB1270" i="4"/>
  <c r="AB1272" i="4"/>
  <c r="AB1300" i="4"/>
  <c r="AB1301" i="4"/>
  <c r="AB1302" i="4"/>
  <c r="AB1303" i="4"/>
  <c r="AB1304" i="4"/>
  <c r="AB1306" i="4"/>
  <c r="AB1307" i="4"/>
  <c r="AB1308" i="4"/>
  <c r="AB1309" i="4"/>
  <c r="AB1310" i="4"/>
  <c r="AB1311" i="4"/>
  <c r="AB1312" i="4"/>
  <c r="AB1313" i="4"/>
  <c r="AB1314" i="4"/>
  <c r="AB1315" i="4"/>
  <c r="AB1316" i="4"/>
  <c r="AB1319" i="4"/>
  <c r="AB1321" i="4"/>
  <c r="AB1323" i="4"/>
  <c r="AB1334" i="4"/>
  <c r="AB1336" i="4"/>
  <c r="AB453" i="4"/>
  <c r="AB454" i="4"/>
  <c r="U2" i="1"/>
  <c r="Q21" i="13"/>
  <c r="Q20" i="13"/>
  <c r="Q19" i="13"/>
  <c r="Q18" i="13"/>
  <c r="Q17" i="13"/>
  <c r="Q16" i="13"/>
  <c r="Q15" i="13"/>
  <c r="Q14" i="13"/>
  <c r="Q13" i="13"/>
  <c r="Q12" i="13"/>
  <c r="Q11" i="13"/>
  <c r="Q10" i="13"/>
  <c r="Q9" i="13"/>
  <c r="Q8" i="13"/>
  <c r="Q7" i="13"/>
  <c r="Q6" i="13"/>
  <c r="Q5" i="13"/>
  <c r="Q4" i="13"/>
  <c r="N21" i="13"/>
  <c r="I21" i="13"/>
  <c r="N20" i="13"/>
  <c r="I20" i="13"/>
  <c r="N19" i="13"/>
  <c r="I19" i="13"/>
  <c r="N18" i="13"/>
  <c r="I18" i="13"/>
  <c r="N17" i="13"/>
  <c r="I17" i="13"/>
  <c r="N16" i="13"/>
  <c r="I16" i="13"/>
  <c r="N15" i="13"/>
  <c r="I15" i="13"/>
  <c r="N14" i="13"/>
  <c r="I14" i="13"/>
  <c r="N13" i="13"/>
  <c r="I13" i="13"/>
  <c r="N12" i="13"/>
  <c r="I12" i="13"/>
  <c r="N11" i="13"/>
  <c r="I11" i="13"/>
  <c r="N10" i="13"/>
  <c r="I10" i="13"/>
  <c r="N9" i="13"/>
  <c r="I9" i="13"/>
  <c r="N8" i="13"/>
  <c r="I8" i="13"/>
  <c r="N7" i="13"/>
  <c r="I7" i="13"/>
  <c r="N6" i="13"/>
  <c r="I6" i="13"/>
  <c r="N5" i="13"/>
  <c r="I5" i="13"/>
  <c r="N4" i="13"/>
  <c r="I4" i="13"/>
  <c r="L21" i="13"/>
  <c r="G21" i="13"/>
  <c r="L20" i="13"/>
  <c r="G20" i="13"/>
  <c r="L19" i="13"/>
  <c r="G19" i="13"/>
  <c r="L18" i="13"/>
  <c r="G18" i="13"/>
  <c r="L17" i="13"/>
  <c r="G17" i="13"/>
  <c r="L16" i="13"/>
  <c r="G16" i="13"/>
  <c r="L15" i="13"/>
  <c r="G15" i="13"/>
  <c r="L14" i="13"/>
  <c r="G14" i="13"/>
  <c r="L13" i="13"/>
  <c r="G13" i="13"/>
  <c r="L12" i="13"/>
  <c r="G12" i="13"/>
  <c r="L11" i="13"/>
  <c r="G11" i="13"/>
  <c r="L10" i="13"/>
  <c r="G10" i="13"/>
  <c r="L9" i="13"/>
  <c r="G9" i="13"/>
  <c r="L8" i="13"/>
  <c r="G8" i="13"/>
  <c r="L7" i="13"/>
  <c r="G7" i="13"/>
  <c r="L6" i="13"/>
  <c r="G6" i="13"/>
  <c r="L5" i="13"/>
  <c r="G5" i="13"/>
  <c r="L4" i="13"/>
  <c r="G4" i="13"/>
  <c r="P4" i="13"/>
  <c r="P5" i="13"/>
  <c r="P6" i="13"/>
  <c r="P7" i="13"/>
  <c r="P8" i="13"/>
  <c r="P9" i="13"/>
  <c r="P10" i="13"/>
  <c r="P11" i="13"/>
  <c r="P12" i="13"/>
  <c r="P13" i="13"/>
  <c r="P14" i="13"/>
  <c r="P15" i="13"/>
  <c r="P16" i="13"/>
  <c r="P17" i="13"/>
  <c r="P18" i="13"/>
  <c r="P19" i="13"/>
  <c r="P20" i="13"/>
  <c r="P21" i="13"/>
  <c r="M4" i="13"/>
  <c r="M5" i="13"/>
  <c r="M6" i="13"/>
  <c r="M7" i="13"/>
  <c r="M8" i="13"/>
  <c r="M9" i="13"/>
  <c r="M10" i="13"/>
  <c r="M11" i="13"/>
  <c r="M12" i="13"/>
  <c r="M13" i="13"/>
  <c r="M14" i="13"/>
  <c r="M15" i="13"/>
  <c r="M16" i="13"/>
  <c r="M17" i="13"/>
  <c r="M18" i="13"/>
  <c r="M19" i="13"/>
  <c r="M20" i="13"/>
  <c r="M21" i="13"/>
  <c r="O4" i="13"/>
  <c r="O5" i="13"/>
  <c r="O6" i="13"/>
  <c r="O7" i="13"/>
  <c r="O8" i="13"/>
  <c r="O9" i="13"/>
  <c r="O10" i="13"/>
  <c r="O11" i="13"/>
  <c r="O12" i="13"/>
  <c r="O13" i="13"/>
  <c r="O14" i="13"/>
  <c r="O15" i="13"/>
  <c r="O16" i="13"/>
  <c r="O17" i="13"/>
  <c r="O18" i="13"/>
  <c r="O19" i="13"/>
  <c r="O20" i="13"/>
  <c r="O21" i="13"/>
  <c r="AB311" i="4"/>
  <c r="AB312" i="4"/>
  <c r="AB371" i="4"/>
  <c r="AB379" i="4"/>
  <c r="Y512" i="4"/>
  <c r="AB469" i="4"/>
  <c r="AB533" i="4"/>
  <c r="T26" i="18"/>
  <c r="S26" i="18"/>
  <c r="V26" i="18"/>
  <c r="W26" i="18"/>
  <c r="M25" i="18"/>
  <c r="M26" i="18"/>
  <c r="U26" i="18"/>
  <c r="N5" i="18"/>
  <c r="O5" i="18"/>
  <c r="N6" i="18"/>
  <c r="O6" i="18"/>
  <c r="N7" i="18"/>
  <c r="O7" i="18"/>
  <c r="N8" i="18"/>
  <c r="O8" i="18"/>
  <c r="N9" i="18"/>
  <c r="O9" i="18"/>
  <c r="N10" i="18"/>
  <c r="O10" i="18"/>
  <c r="N11" i="18"/>
  <c r="O11" i="18"/>
  <c r="N12" i="18"/>
  <c r="O12" i="18"/>
  <c r="N13" i="18"/>
  <c r="O13" i="18"/>
  <c r="N14" i="18"/>
  <c r="O14" i="18"/>
  <c r="N15" i="18"/>
  <c r="O15" i="18"/>
  <c r="N16" i="18"/>
  <c r="O16" i="18"/>
  <c r="N17" i="18"/>
  <c r="O17" i="18"/>
  <c r="N18" i="18"/>
  <c r="O18" i="18"/>
  <c r="N19" i="18"/>
  <c r="O19" i="18"/>
  <c r="N20" i="18"/>
  <c r="O20" i="18"/>
  <c r="N21" i="18"/>
  <c r="O21" i="18"/>
  <c r="N22" i="18"/>
  <c r="O22" i="18"/>
  <c r="N23" i="18"/>
  <c r="O23" i="18"/>
  <c r="O25" i="18"/>
  <c r="O26" i="18"/>
  <c r="N26" i="18"/>
  <c r="P5" i="18"/>
  <c r="P6" i="18"/>
  <c r="P7" i="18"/>
  <c r="P8" i="18"/>
  <c r="P9" i="18"/>
  <c r="P10" i="18"/>
  <c r="P11" i="18"/>
  <c r="P12" i="18"/>
  <c r="P13" i="18"/>
  <c r="P14" i="18"/>
  <c r="P15" i="18"/>
  <c r="P16" i="18"/>
  <c r="P17" i="18"/>
  <c r="P18" i="18"/>
  <c r="P19" i="18"/>
  <c r="P20" i="18"/>
  <c r="P21" i="18"/>
  <c r="P22" i="18"/>
  <c r="P23" i="18"/>
  <c r="P26" i="18"/>
  <c r="F151" i="1"/>
  <c r="F152" i="1"/>
  <c r="E151" i="1"/>
  <c r="C151" i="1"/>
  <c r="E152" i="1"/>
  <c r="C152" i="1"/>
  <c r="P107" i="12"/>
  <c r="Q107" i="12"/>
  <c r="O107" i="12"/>
  <c r="N107" i="12"/>
  <c r="O108" i="12"/>
  <c r="Q108" i="12"/>
  <c r="N108" i="12"/>
  <c r="P108" i="12"/>
  <c r="P109" i="12"/>
  <c r="Q109" i="12"/>
  <c r="O109" i="12"/>
  <c r="N109" i="12"/>
</calcChain>
</file>

<file path=xl/comments1.xml><?xml version="1.0" encoding="utf-8"?>
<comments xmlns="http://schemas.openxmlformats.org/spreadsheetml/2006/main">
  <authors>
    <author>F. Lefebvre-Naré</author>
  </authors>
  <commentList>
    <comment ref="A1" authorId="0">
      <text>
        <r>
          <rPr>
            <b/>
            <sz val="9"/>
            <color indexed="81"/>
            <rFont val="Calibri"/>
            <family val="2"/>
          </rPr>
          <t>Cette feuille est cachée car cette information ne joue pas de rôle dans les estimations finales.</t>
        </r>
      </text>
    </comment>
  </commentList>
</comments>
</file>

<file path=xl/comments2.xml><?xml version="1.0" encoding="utf-8"?>
<comments xmlns="http://schemas.openxmlformats.org/spreadsheetml/2006/main">
  <authors>
    <author>F. Lefebvre-Naré</author>
  </authors>
  <commentList>
    <comment ref="A1" authorId="0">
      <text>
        <r>
          <rPr>
            <b/>
            <sz val="9"/>
            <color indexed="81"/>
            <rFont val="Calibri"/>
            <family val="2"/>
          </rPr>
          <t>Cette page d'exemples est masquée car elle ne joue pas de rôle dans le modèle d'estimation final.</t>
        </r>
      </text>
    </comment>
  </commentList>
</comments>
</file>

<file path=xl/comments3.xml><?xml version="1.0" encoding="utf-8"?>
<comments xmlns="http://schemas.openxmlformats.org/spreadsheetml/2006/main">
  <authors>
    <author>F. Lefebvre-Naré</author>
  </authors>
  <commentList>
    <comment ref="A1" authorId="0">
      <text>
        <r>
          <rPr>
            <b/>
            <sz val="9"/>
            <color indexed="81"/>
            <rFont val="Calibri"/>
            <family val="2"/>
          </rPr>
          <t>Cette feuille contient des interrogations à mi-parcours de la mission, sur certains emprunts.,Elle est masquée car ces chiffres n'interviennent pas dans le modèle final.</t>
        </r>
      </text>
    </comment>
  </commentList>
</comments>
</file>

<file path=xl/comments4.xml><?xml version="1.0" encoding="utf-8"?>
<comments xmlns="http://schemas.openxmlformats.org/spreadsheetml/2006/main">
  <authors>
    <author>F. Lefebvre-Naré</author>
  </authors>
  <commentList>
    <comment ref="C8" authorId="0">
      <text>
        <r>
          <rPr>
            <b/>
            <sz val="9"/>
            <color indexed="81"/>
            <rFont val="Calibri"/>
            <family val="2"/>
          </rPr>
          <t>http://doc.sciencespo-lyon.fr/Ressources/Documents/Etudiants/Memoires/Cyberdocs/Masters/MSPCP/marqueissac_c/pdf/marqueissac_c.pdf</t>
        </r>
      </text>
    </comment>
  </commentList>
</comments>
</file>

<file path=xl/sharedStrings.xml><?xml version="1.0" encoding="utf-8"?>
<sst xmlns="http://schemas.openxmlformats.org/spreadsheetml/2006/main" count="4222" uniqueCount="843">
  <si>
    <t>Ref_6_chiffres</t>
  </si>
  <si>
    <t>Preteur</t>
  </si>
  <si>
    <t>Montant_emprunte</t>
  </si>
  <si>
    <t>Duree_initiale</t>
  </si>
  <si>
    <t>Taux_Riskedge</t>
  </si>
  <si>
    <t>Date_signature</t>
  </si>
  <si>
    <t>Date_fin_contractuelle</t>
  </si>
  <si>
    <t>CDC</t>
  </si>
  <si>
    <t>Risque_Riskedge</t>
  </si>
  <si>
    <t>CBC_Riskedge</t>
  </si>
  <si>
    <t>000780</t>
  </si>
  <si>
    <t>Crédit Mutuel</t>
  </si>
  <si>
    <t>Fixe</t>
  </si>
  <si>
    <t>1A</t>
  </si>
  <si>
    <t>000810</t>
  </si>
  <si>
    <t>Taux fixe à 4,78%</t>
  </si>
  <si>
    <t>CE zzz</t>
  </si>
  <si>
    <t>Caisse d'Épargne</t>
  </si>
  <si>
    <t>Seuil</t>
  </si>
  <si>
    <t>Taux fixe 3,05% si Spread CMS EUR 10 ans - CMS Eur 02 ans &gt;= 0,75% sinon 5,00%</t>
  </si>
  <si>
    <t>Pente</t>
  </si>
  <si>
    <t>3B</t>
  </si>
  <si>
    <t>000783</t>
  </si>
  <si>
    <t>Dexia CL</t>
  </si>
  <si>
    <t>Annulable</t>
  </si>
  <si>
    <t>1C</t>
  </si>
  <si>
    <t>000793-000794</t>
  </si>
  <si>
    <t>Taux fixe à 5,10%</t>
  </si>
  <si>
    <t>000786</t>
  </si>
  <si>
    <t>Livret A sans marge</t>
  </si>
  <si>
    <t>Livret A</t>
  </si>
  <si>
    <t>000787</t>
  </si>
  <si>
    <t>Livret A + 1,20%</t>
  </si>
  <si>
    <t>000785</t>
  </si>
  <si>
    <t>Crédit Agricole</t>
  </si>
  <si>
    <t>Barrière hors zone EUR</t>
  </si>
  <si>
    <t>4B</t>
  </si>
  <si>
    <t>Libor USD 12 M</t>
  </si>
  <si>
    <t>000790</t>
  </si>
  <si>
    <t>Taux fixe 4,98% à barrière 6,00% sur Euribor 03 M (Marge de 0,20%)</t>
  </si>
  <si>
    <t>Barrière</t>
  </si>
  <si>
    <t>1B</t>
  </si>
  <si>
    <t>Euribor 03 M</t>
  </si>
  <si>
    <t>000788</t>
  </si>
  <si>
    <t>Taux fixe 4,83% à barrière 7,00% sur Libor USD 03 M (Marge de 0,20%)</t>
  </si>
  <si>
    <t>Libor USD 03 M</t>
  </si>
  <si>
    <t>000789</t>
  </si>
  <si>
    <t>000792</t>
  </si>
  <si>
    <t>Taux fixe à 5,26% en CHF</t>
  </si>
  <si>
    <t>Change</t>
  </si>
  <si>
    <t>6F</t>
  </si>
  <si>
    <t>000791</t>
  </si>
  <si>
    <t>Libor USD 12 M - 0,20%</t>
  </si>
  <si>
    <t>Variable hors zone EUR</t>
  </si>
  <si>
    <t>4A</t>
  </si>
  <si>
    <t>000795</t>
  </si>
  <si>
    <t>Livret A + 0,25%</t>
  </si>
  <si>
    <t>000797</t>
  </si>
  <si>
    <t>Taux fixe à 4,75%</t>
  </si>
  <si>
    <t>000796</t>
  </si>
  <si>
    <t>000799</t>
  </si>
  <si>
    <t>000809</t>
  </si>
  <si>
    <t>LCL</t>
  </si>
  <si>
    <t>Taux fixe à 2,867%</t>
  </si>
  <si>
    <t>000800</t>
  </si>
  <si>
    <t>Indice seuil</t>
  </si>
  <si>
    <t>Euribor 12 M</t>
  </si>
  <si>
    <t>Euribor 12 M + 0,05% - Floor 4,50% activant à 3,00% sur Euribor 12 M</t>
  </si>
  <si>
    <t>Euribor 12 M + 0,04% - Floor 4,40% activant à 3,00% sur Euribor 12 M</t>
  </si>
  <si>
    <t>Floor</t>
  </si>
  <si>
    <t>https://www.fimarkets.com/pages/cap_floor.php</t>
  </si>
  <si>
    <t>000801</t>
  </si>
  <si>
    <t>000802</t>
  </si>
  <si>
    <t>Taux fixe 3,95% à barrière 6,50% sur Libor USD 12 M (Marge de 0,06%)</t>
  </si>
  <si>
    <t>Taux_fixe_1</t>
  </si>
  <si>
    <t>Taux_fixe_2</t>
  </si>
  <si>
    <t>Delta_variable_2</t>
  </si>
  <si>
    <t>Indice_variable_2</t>
  </si>
  <si>
    <t>000798</t>
  </si>
  <si>
    <t>000804</t>
  </si>
  <si>
    <t>Taux fixe 3,29% à barrière 5,50% sur Libor USD 12 M</t>
  </si>
  <si>
    <t>000805</t>
  </si>
  <si>
    <t>Euribor 03 M + 0,10%</t>
  </si>
  <si>
    <t>Variable</t>
  </si>
  <si>
    <t>000806</t>
  </si>
  <si>
    <t>Taux fixe à 2,91%</t>
  </si>
  <si>
    <t>000811</t>
  </si>
  <si>
    <t>Taux fixe à 3,80%</t>
  </si>
  <si>
    <t>000814</t>
  </si>
  <si>
    <t>Taux fixe à 2,70%</t>
  </si>
  <si>
    <t>000812</t>
  </si>
  <si>
    <t>4,24% si Libor CHF 12 M &lt;= 4,00%, sinon 2 * Libor CHF 12 M + 0,10%</t>
  </si>
  <si>
    <t>Multiplicateur_variable_2</t>
  </si>
  <si>
    <t>Barrière avec multiplicateur</t>
  </si>
  <si>
    <t>4D</t>
  </si>
  <si>
    <t>Libor CHF 12 M</t>
  </si>
  <si>
    <t>000813</t>
  </si>
  <si>
    <t>Taux fixe 4,83% à barrière 7,00% sur Libor USD 12 M (Marge de 0,10%)</t>
  </si>
  <si>
    <t>000815</t>
  </si>
  <si>
    <t>Wibor 12 M - 2,35%</t>
  </si>
  <si>
    <t>Wibor 12 M</t>
  </si>
  <si>
    <t>000803</t>
  </si>
  <si>
    <t>Taux fixe 4,04% à barrière 5,50% sur Euribor 12 M (Marge de 0,07%)</t>
  </si>
  <si>
    <t>Delta_variable_1</t>
  </si>
  <si>
    <t>Indice_variable_1</t>
  </si>
  <si>
    <t>000816</t>
  </si>
  <si>
    <t>4,90% x 100 / USD-JPY</t>
  </si>
  <si>
    <t>Formulation bizarre, habituellement x 100 USD/JPY par exemple</t>
  </si>
  <si>
    <t>000817</t>
  </si>
  <si>
    <t>Multiplicateur_variable_1</t>
  </si>
  <si>
    <t>Indice_variable_1b</t>
  </si>
  <si>
    <t>Multiplicateur_variable_1b</t>
  </si>
  <si>
    <t>TEC 10</t>
  </si>
  <si>
    <t>3D</t>
  </si>
  <si>
    <t>000818</t>
  </si>
  <si>
    <t>Euribor 12 M * 103.2 / USD-JPY</t>
  </si>
  <si>
    <t>OK</t>
  </si>
  <si>
    <t>000821</t>
  </si>
  <si>
    <t>0,5 * Euribor 12 M + Inflation INSEE hors tabac floorée à 1,92%</t>
  </si>
  <si>
    <t>2D</t>
  </si>
  <si>
    <t>Inflation INSEE hors tabac</t>
  </si>
  <si>
    <t>000819</t>
  </si>
  <si>
    <t>Wibor 12 M - 1,90%</t>
  </si>
  <si>
    <t>000824</t>
  </si>
  <si>
    <t>Taux fixe à 2,97%</t>
  </si>
  <si>
    <t>000820</t>
  </si>
  <si>
    <t>Euribor 12 M * 106.5 / USD-JPY</t>
  </si>
  <si>
    <t>Remarques</t>
  </si>
  <si>
    <t>Société générale</t>
  </si>
  <si>
    <t>Crédit Foncier</t>
  </si>
  <si>
    <t>Auxifip CEPME</t>
  </si>
  <si>
    <t>Natixis</t>
  </si>
  <si>
    <t>Krebitbank BW</t>
  </si>
  <si>
    <t>Deutsche Hypothekenbank</t>
  </si>
  <si>
    <t>Rheinboden Hypothekenbank</t>
  </si>
  <si>
    <t>Année</t>
  </si>
  <si>
    <t>Encours_fin</t>
  </si>
  <si>
    <t>ICNE_fin</t>
  </si>
  <si>
    <t>Intérêts</t>
  </si>
  <si>
    <t>Amortissement</t>
  </si>
  <si>
    <t>Annuité</t>
  </si>
  <si>
    <t>Frais</t>
  </si>
  <si>
    <t>Taux_constate_si_1jan</t>
  </si>
  <si>
    <t>Encours_fin_selon_suivante_∆</t>
  </si>
  <si>
    <t>Signé</t>
  </si>
  <si>
    <t>Marge_pc</t>
  </si>
  <si>
    <t>Taux_actuariel_pc</t>
  </si>
  <si>
    <t>Période</t>
  </si>
  <si>
    <t>Date_1ere_annee_interet</t>
  </si>
  <si>
    <t>Date_1ere_annee_amort</t>
  </si>
  <si>
    <t>Capital</t>
  </si>
  <si>
    <t>Encours_31_dec</t>
  </si>
  <si>
    <t>ICNE</t>
  </si>
  <si>
    <t>Intérêt</t>
  </si>
  <si>
    <t>T</t>
  </si>
  <si>
    <t>A</t>
  </si>
  <si>
    <t>Commentaires</t>
  </si>
  <si>
    <t>Déséquilibre de -211 666</t>
  </si>
  <si>
    <t>Observations</t>
  </si>
  <si>
    <t>000793</t>
  </si>
  <si>
    <t>Num_Preteur</t>
  </si>
  <si>
    <t>Annee</t>
  </si>
  <si>
    <t>0001</t>
  </si>
  <si>
    <t>0002</t>
  </si>
  <si>
    <t>0003</t>
  </si>
  <si>
    <t>0004</t>
  </si>
  <si>
    <t>0005</t>
  </si>
  <si>
    <t>0014</t>
  </si>
  <si>
    <t>0015</t>
  </si>
  <si>
    <t>0016</t>
  </si>
  <si>
    <t>0021</t>
  </si>
  <si>
    <t>0022</t>
  </si>
  <si>
    <t>0025</t>
  </si>
  <si>
    <t>0023</t>
  </si>
  <si>
    <t>Annee_preteur</t>
  </si>
  <si>
    <t>Vérif annuité</t>
  </si>
  <si>
    <t>M</t>
  </si>
  <si>
    <t>793-794</t>
  </si>
  <si>
    <t>Bizarre la référence au Livret A devrait donner 3,25% d'intérêt</t>
  </si>
  <si>
    <t>Chute étrange de l'encours vu la date du 1/2/5</t>
  </si>
  <si>
    <t>000822</t>
  </si>
  <si>
    <t>Euribor 12 M + 0,00% jusqu'au 1/4/2011 puis Euribor 12 M + 0,04% si EUR-CHF &gt; 1,45, sinon conversion du CRD à 1,5485 et indexation Libor CHF 12 M + 0,04%</t>
  </si>
  <si>
    <t>Date changement</t>
  </si>
  <si>
    <t>000827</t>
  </si>
  <si>
    <t>Euribor 12 M + 0,15%</t>
  </si>
  <si>
    <t>000828</t>
  </si>
  <si>
    <t>000823</t>
  </si>
  <si>
    <t>000826</t>
  </si>
  <si>
    <t>Taux fixe 4,50% si Spread CMS EUR 30 ans - CMS EUR 05 ans &gt;= 0,50%, sinon (7.50% - 5 x spread)</t>
  </si>
  <si>
    <t>3E</t>
  </si>
  <si>
    <t>Sens</t>
  </si>
  <si>
    <t>&lt;</t>
  </si>
  <si>
    <t>&gt;</t>
  </si>
  <si>
    <t>000825</t>
  </si>
  <si>
    <t>Taux fixe 3,75% si Spread CMS EUR 30 ans - CMS EUR 05 ans &gt;= 0,50%, sinon (6,25% - 5 x spread)</t>
  </si>
  <si>
    <t>000834</t>
  </si>
  <si>
    <t>2 * Euribor 12 M - TEC 10 + 1,09%</t>
  </si>
  <si>
    <t>000835</t>
  </si>
  <si>
    <t>Taux fixe 2,61% si Spread CMS EUR 10 ans - CMS EUR 02 ans &gt;= 0,30%, sinon (6,80% - 5 x spread)</t>
  </si>
  <si>
    <t>000833</t>
  </si>
  <si>
    <t>EUR-CHF</t>
  </si>
  <si>
    <t>Taux fixe 2,90% à barrière 1,45 sur EUR-CHF (2,90%/0,50/1,45)</t>
  </si>
  <si>
    <t>https://fr.investing.com/currencies/eur-chf</t>
  </si>
  <si>
    <t>En 2005 EUR/CHF est de l'ordre de 1,55</t>
  </si>
  <si>
    <t>SWAP 143</t>
  </si>
  <si>
    <t>Reçu 3,62% / Payé 3,18% à barrière 4,80% sur Euribor 12 M</t>
  </si>
  <si>
    <t>https://www.cbanque.com/bourse/taux-euribor.php?ind=eur12m</t>
  </si>
  <si>
    <t>000839</t>
  </si>
  <si>
    <t>Taux fixe à 3,62%</t>
  </si>
  <si>
    <t>000842</t>
  </si>
  <si>
    <t>Taux fixe à 4,26%</t>
  </si>
  <si>
    <t>000841</t>
  </si>
  <si>
    <t>USD-JPY</t>
  </si>
  <si>
    <t>000840</t>
  </si>
  <si>
    <t>Taux fixe 3,34% si Spread CMS EUR 30 ans - CMS EUR 02 ans &gt;= 0,20%, sinon (6,40% - 5 x spread)</t>
  </si>
  <si>
    <t>000836</t>
  </si>
  <si>
    <t>Taux fixe 3,32% à barrière 87 sur USD-JPY (5,52%/0,15/87)</t>
  </si>
  <si>
    <t>000838</t>
  </si>
  <si>
    <t>Société Générale</t>
  </si>
  <si>
    <t>4,90% — 5 * (Inflation européenne hors tabac - Inflation française hors tabac)</t>
  </si>
  <si>
    <t>Écart d'inflation</t>
  </si>
  <si>
    <t>2E</t>
  </si>
  <si>
    <t>000846</t>
  </si>
  <si>
    <t>000849</t>
  </si>
  <si>
    <t>Taux fixe 3,50% si Spread CMS EUR 30 ans - CMS EUR 10 ans &gt;= 0,44%, sinon (7,90% - 10 x spread), le taux payé est capé à 7,90%</t>
  </si>
  <si>
    <t>000850</t>
  </si>
  <si>
    <t>Taux fixe 3,74% si Spread CMS EUR 30 ans - CMS EUR 01 an &gt;= 0,00%, sinon (5,74% - 5 x spread)</t>
  </si>
  <si>
    <t>000847</t>
  </si>
  <si>
    <t>Taux fixe 3,80% à barrière -0,10% sur écart CMS GBP 10 A - CMS EUR 10 A (4,80%/5/0)</t>
  </si>
  <si>
    <t>Courbes</t>
  </si>
  <si>
    <t>4E</t>
  </si>
  <si>
    <t>000848</t>
  </si>
  <si>
    <t>5,16% — 5 * (Inflation européenne hors tabac - Inflation française hors tabac)</t>
  </si>
  <si>
    <t>000851</t>
  </si>
  <si>
    <t>EUR-USD</t>
  </si>
  <si>
    <t>000852</t>
  </si>
  <si>
    <t>8,04% - 5 * (CMS GBP 10 A - Libor JPY 03 M - 4,00%), taux flooré 3,00% et capé 11,00%</t>
  </si>
  <si>
    <t>capé</t>
  </si>
  <si>
    <t>5D</t>
  </si>
  <si>
    <t>000855</t>
  </si>
  <si>
    <t>Taux fixe 3,30% à barrière 3,00% sur écart CMS GBP 10 A - Libor JPY 06 M (3,30%/5/3)</t>
  </si>
  <si>
    <t>5E</t>
  </si>
  <si>
    <t>floor absolu</t>
  </si>
  <si>
    <t>A dépassé 4,8% en 2008 ; est à moins de 3% depuis 2009</t>
  </si>
  <si>
    <t>Taux fixe 3,56% à barrière 0,00% sur écart CMS GBP 10 A - CMS EUR 10 A (5,40%/5/0)</t>
  </si>
  <si>
    <t>CMS GBP 10 A</t>
  </si>
  <si>
    <t>000854</t>
  </si>
  <si>
    <t>Euribor 12 M capé 5.00% - 0,20% - 5 * Cap 7,25% sur Libor USD 12 M</t>
  </si>
  <si>
    <t>000856</t>
  </si>
  <si>
    <t>Taux fixe 3,65% à barrière 1,50 sur EUR-USD (3,65%/0,5/1,5)</t>
  </si>
  <si>
    <t>000853</t>
  </si>
  <si>
    <t>000858</t>
  </si>
  <si>
    <t>Taux fixe 3,80% à barrière 1,455 sur EUR-CHF (5,80%/0,5/1,455)</t>
  </si>
  <si>
    <t>000857</t>
  </si>
  <si>
    <t>Taux fixe 3,80% à barrière -0,10% sur écart CMS GBP 10 A - CMS EUR 10 A (5,30%/5/0)</t>
  </si>
  <si>
    <t>000859</t>
  </si>
  <si>
    <t>000860</t>
  </si>
  <si>
    <t>000898</t>
  </si>
  <si>
    <t>SFIL</t>
  </si>
  <si>
    <t>Taux fixe 2,97% à barrière 0% sur écart EUR-CHF - EUR-USD (2,97%/0.33/0)</t>
  </si>
  <si>
    <t>Taux fixe 2,96% à barrière 90 sur USD-JPY (4,96%/0.34/90)</t>
  </si>
  <si>
    <t>000862</t>
  </si>
  <si>
    <t>Taux fixe 2,99% à barrière 1.445 sur EUR-CHF (2,99%/0.5/1.445)</t>
  </si>
  <si>
    <t>000861</t>
  </si>
  <si>
    <t>Taux fixe 3,65% si Spread CMS EUR 30 ans - CMS EUR 02 ans &gt;= 0%, sinon (6,15% - 5 x spread)</t>
  </si>
  <si>
    <t>000863</t>
  </si>
  <si>
    <t>Taux fixe à 4,48%</t>
  </si>
  <si>
    <t>000868</t>
  </si>
  <si>
    <t>Taux fixe 3,92% à barrière 1,545 sur EUR-USD (5,76%/0,5/1,545)</t>
  </si>
  <si>
    <t>000866</t>
  </si>
  <si>
    <t>000865</t>
  </si>
  <si>
    <t>Taux fixe 3,74% si Spread CMS EUR 30 ans - CMS EUR 01 an &gt;= 0%, sinon (5,74% - 5 x spread)</t>
  </si>
  <si>
    <t>000867 Kommunal</t>
  </si>
  <si>
    <t>Euribor 03 M + 0,40%</t>
  </si>
  <si>
    <t>000845-Refi</t>
  </si>
  <si>
    <t>Taux fixe à 4,70%</t>
  </si>
  <si>
    <t>000869</t>
  </si>
  <si>
    <t>Arkea</t>
  </si>
  <si>
    <t>Euribor 03 M + 0,43%</t>
  </si>
  <si>
    <t>CMS EUR 30 A - CMS EUR 05 A</t>
  </si>
  <si>
    <t>CMS EUR 10 A - CMS EUR 02 A</t>
  </si>
  <si>
    <t>CMS EUR 30 A - CMS EUR 02 A</t>
  </si>
  <si>
    <t>CMS EUR 30 A - CMS EUR 10 A</t>
  </si>
  <si>
    <t>CMS EUR 30 A - CMS EUR 01 A</t>
  </si>
  <si>
    <t>000876</t>
  </si>
  <si>
    <t>Taux fixe à 3,99% - 5 * Floor -1,00% sur inflation française</t>
  </si>
  <si>
    <t>000864</t>
  </si>
  <si>
    <t>idem '000854</t>
  </si>
  <si>
    <t>000879</t>
  </si>
  <si>
    <t>000870</t>
  </si>
  <si>
    <t>3,99% - 5 * Cap 6,50% sur CMS EUR 30 A</t>
  </si>
  <si>
    <t>1E</t>
  </si>
  <si>
    <t>CMS EUR 30 A</t>
  </si>
  <si>
    <t>Indice_seuil_2_si_ecart</t>
  </si>
  <si>
    <t>CMS EUR 10 A</t>
  </si>
  <si>
    <t>CMS EUR 02 A</t>
  </si>
  <si>
    <t>CMS EUR 05 A</t>
  </si>
  <si>
    <t>CMS EUR 01 A</t>
  </si>
  <si>
    <t>Libor JPY 06 M</t>
  </si>
  <si>
    <t>Inflation française</t>
  </si>
  <si>
    <t>000871</t>
  </si>
  <si>
    <t>Taux fixe 3,17% à barrière 1,45 sur EUR-CHF (3,17%/0,5/1,45)</t>
  </si>
  <si>
    <t>000872</t>
  </si>
  <si>
    <t>Taux fixe à 2,14%</t>
  </si>
  <si>
    <t>000878</t>
  </si>
  <si>
    <t>Taux fixe à 4,33%</t>
  </si>
  <si>
    <t>000873</t>
  </si>
  <si>
    <t>Taux fixe 3,32% à barrière 87 sur USD-JPY (5,52%/0,29/87)</t>
  </si>
  <si>
    <t>https://www.boursorama.com/bourse/devises/taux-de-change-dollar-yen-USD-JPY/</t>
  </si>
  <si>
    <t>Fluctue très fortement de 76 à 128</t>
  </si>
  <si>
    <t>bizarre car USD-JPY est à environ 83 à cette date, contre 96 lors du prêt '000866</t>
  </si>
  <si>
    <t>000874</t>
  </si>
  <si>
    <t>Taux fixe 2,99% à barrière 1,445 sur EUR-CHF (2,99%/0,485/1,445)</t>
  </si>
  <si>
    <t>000877</t>
  </si>
  <si>
    <t>000880</t>
  </si>
  <si>
    <t>Euribor 01 M + 0,95%</t>
  </si>
  <si>
    <t>Euribor 01 M</t>
  </si>
  <si>
    <t>000875</t>
  </si>
  <si>
    <t>Euribor 12 M + 0,34% - 4 * Floor 0,00% sur Inflation INSEE hors tabac</t>
  </si>
  <si>
    <t>Inflation européenne hors tabac</t>
  </si>
  <si>
    <t>Inflation française hors tabac</t>
  </si>
  <si>
    <t>Libor JPY 03 M</t>
  </si>
  <si>
    <t>ream avec changement de banque ?</t>
  </si>
  <si>
    <t>Taux fixe 3,94% à barrière 90 sur USD-JPY (5%/0,20/90)</t>
  </si>
  <si>
    <t>000884</t>
  </si>
  <si>
    <t>TAG</t>
  </si>
  <si>
    <t>Publié par l'AFB</t>
  </si>
  <si>
    <t>TAG 03 M + 1,29%</t>
  </si>
  <si>
    <t>000885</t>
  </si>
  <si>
    <t>TAG 03 M + 0,99%</t>
  </si>
  <si>
    <t>TAG 03 M</t>
  </si>
  <si>
    <t>000887</t>
  </si>
  <si>
    <t>3,50% - 5 * Cap 7,25% sur Libor USD 12 M</t>
  </si>
  <si>
    <t>000886</t>
  </si>
  <si>
    <t>Taux fixe 2,97% à barrière 0 sur écart EUR-CHF - EUR-USD (2,97%/0,33/0)</t>
  </si>
  <si>
    <t>identique 000859 ? Signé 3 ans avant</t>
  </si>
  <si>
    <t>000888</t>
  </si>
  <si>
    <t>Taux fixe 2,99% à barrière 1.445 sur EUR-CHF (2,99%/0.485/1.445)</t>
  </si>
  <si>
    <t>000867 - Dexia CLF</t>
  </si>
  <si>
    <t>000889</t>
  </si>
  <si>
    <t>000890</t>
  </si>
  <si>
    <t>Taux fixe 4,85% à barrière 5,00% sur Euribor 12 M (marge de 0,50%)</t>
  </si>
  <si>
    <t>000891</t>
  </si>
  <si>
    <t>Euribor 03 M + 1,98%</t>
  </si>
  <si>
    <t>000894 réam 000873</t>
  </si>
  <si>
    <t>les conditions du 000894 n'ont rien à voir avec celles du 000873 malgré "réam"</t>
  </si>
  <si>
    <t>Euribor 12 M + 1,74% - 5 * Floor 0,00% sur Inflation européenne</t>
  </si>
  <si>
    <t>Inflation européenne</t>
  </si>
  <si>
    <t>000893 ream 000881</t>
  </si>
  <si>
    <t>Taux fixe 3,17% à barrière 1,45 sur EUR-CHF (3,17%/0,499/1,45)</t>
  </si>
  <si>
    <t>000895</t>
  </si>
  <si>
    <t>Euribor 12 M + 2,98%</t>
  </si>
  <si>
    <t>000897</t>
  </si>
  <si>
    <t>Taux fixe à 5,15%</t>
  </si>
  <si>
    <t>000905</t>
  </si>
  <si>
    <t>identique à 000890 ?</t>
  </si>
  <si>
    <t>Taux fixe à 4,50%</t>
  </si>
  <si>
    <t>000903</t>
  </si>
  <si>
    <t>000913</t>
  </si>
  <si>
    <t>000906</t>
  </si>
  <si>
    <t>000908</t>
  </si>
  <si>
    <t>000907</t>
  </si>
  <si>
    <t>000914</t>
  </si>
  <si>
    <t>000902</t>
  </si>
  <si>
    <t>000911</t>
  </si>
  <si>
    <t>000912</t>
  </si>
  <si>
    <t>000904</t>
  </si>
  <si>
    <t>000909</t>
  </si>
  <si>
    <t>000910</t>
  </si>
  <si>
    <t>000916</t>
  </si>
  <si>
    <t>000928</t>
  </si>
  <si>
    <t>000917</t>
  </si>
  <si>
    <t>Taux fixe à 4,73%</t>
  </si>
  <si>
    <t>Taux fixe à 4,98%</t>
  </si>
  <si>
    <t>Taux fixe à 4,35%</t>
  </si>
  <si>
    <t>Taux fixe à 4,80%</t>
  </si>
  <si>
    <t>Taux fixe à 4,64%</t>
  </si>
  <si>
    <t>Taux fixe à 3,96%</t>
  </si>
  <si>
    <t>Taux fixe à 4,67%</t>
  </si>
  <si>
    <t>Taux fixe à 4,18%</t>
  </si>
  <si>
    <t>Taux fixe à 3,72%</t>
  </si>
  <si>
    <t>Taux fixe à 3,46%</t>
  </si>
  <si>
    <t>Taux fixe à 3,23%</t>
  </si>
  <si>
    <t>Taux fixe à 2,38%</t>
  </si>
  <si>
    <t>Taux fixe à 4,05%</t>
  </si>
  <si>
    <t>Taux fixe à 2,75%</t>
  </si>
  <si>
    <t>Taux fixe à 2,98%</t>
  </si>
  <si>
    <t>Taux fixe à 3,55%</t>
  </si>
  <si>
    <t>Taux fixe à 3,68%</t>
  </si>
  <si>
    <t>Taux fixe à 0,76%</t>
  </si>
  <si>
    <t>identique à 000905 mais sur 5 ans au lieu de 13</t>
  </si>
  <si>
    <t>Euribor 03 M capé 2,92% + 1,83%</t>
  </si>
  <si>
    <t>Livret A + 0,75%</t>
  </si>
  <si>
    <t>Indices_utilises</t>
  </si>
  <si>
    <t>Inflation française (hors tabac ?)</t>
  </si>
  <si>
    <t>{Euribor 12 M ; Libor USD 12 M}</t>
  </si>
  <si>
    <t>{3% ; 5%}</t>
  </si>
  <si>
    <t>{3% ; 9%}</t>
  </si>
  <si>
    <t>{7% ; 5%}</t>
  </si>
  <si>
    <t>{7% ; 9%}</t>
  </si>
  <si>
    <t>écart CMS GBP 10 A - CMS EUR 10 A</t>
  </si>
  <si>
    <t>https://www.bnpparibasfortis.be/rsc/contrib/document/1-Website/2-Save-and-invest/Individual/BNP/Emissions/Year-2018/992/Flash-invest-fr.pdf</t>
  </si>
  <si>
    <t>https://www.boursorama.com/bourse/taux/</t>
  </si>
  <si>
    <t>Nombreux taux</t>
  </si>
  <si>
    <t>{EUR-CHF ; Libor CHF 12 M}</t>
  </si>
  <si>
    <t>{1,1 ; 0%}</t>
  </si>
  <si>
    <t>{1,1 ; 2%}</t>
  </si>
  <si>
    <t>{1,5 ; 0%}</t>
  </si>
  <si>
    <t>{1,5 ; 2%}</t>
  </si>
  <si>
    <t>après le 1/4/11</t>
  </si>
  <si>
    <t>Risque (Riskedge)</t>
  </si>
  <si>
    <t>Exemple_ref</t>
  </si>
  <si>
    <t>Exemple_taux (Riskedge)</t>
  </si>
  <si>
    <t>Scénarios selon indices</t>
  </si>
  <si>
    <t>Scénario 1</t>
  </si>
  <si>
    <t>Scénario 2</t>
  </si>
  <si>
    <t>Scénario 3</t>
  </si>
  <si>
    <t>Scénario 4</t>
  </si>
  <si>
    <t>Les conditions sont bien identiques à celles de 000859 signé 3 ans plus tôt pour 25 ans avec Dexia ? = c'est un simple changement d'étiquette du prêteur ?</t>
  </si>
  <si>
    <t>Les conditions sont-elles bien celles-là ? C'est inattendu car USD-JPY est à environ 83 à cette date, contre 96 lors du prêt 000866 à conditions similaires.</t>
  </si>
  <si>
    <t>Les conditions sont-elles bien celles-là ? Bien que structurées, elles n'ont rien à voir avec celles du 000873 malgré l'indication "réam".</t>
  </si>
  <si>
    <t>Est-ce bien 000881 ? Celui-ci n'apparaît pas dans le tableau mais un 000871 à conditions similaires, oui</t>
  </si>
  <si>
    <t>Demande de précision</t>
  </si>
  <si>
    <t>Est-ce bien /0), et non -0,10% ? (idem 000857)</t>
  </si>
  <si>
    <t>Taux moyen de la dette</t>
  </si>
  <si>
    <t>Conditions</t>
  </si>
  <si>
    <t>Part emprunts structurés dans la dette</t>
  </si>
  <si>
    <t>Taux moyen collectivités CMK</t>
  </si>
  <si>
    <t>Taux moyen Argenteuil CMK</t>
  </si>
  <si>
    <t>Villes 50-100</t>
  </si>
  <si>
    <t>Villes 100+</t>
  </si>
  <si>
    <t>Inflation</t>
  </si>
  <si>
    <t>1B-2C</t>
  </si>
  <si>
    <t>3A-5C</t>
  </si>
  <si>
    <t>1D-5E</t>
  </si>
  <si>
    <t>https://laplateformedesinstitutionnels.files.wordpress.com/2016/03/observatoire-fa.pdf</t>
  </si>
  <si>
    <t>Marge PDB sur Euribor taux variables</t>
  </si>
  <si>
    <t>Observatoire_FA 2016</t>
  </si>
  <si>
    <t>http://www.assemblee-nationale.fr/13/pdf/cr-cefintox/11-12/c1112021.pdf</t>
  </si>
  <si>
    <t>"Il faut savoir que nous ne sommes qu’au début du problème. Fin septembre 2011, seuls 45 % de ces produits étaient sortis de la phase sécurisée. Cette proportion va passer à 54 % à la fin de l’année et à 77 % en 2012, pour atteindre 87 % en 2013. Aujourd’hui, les taux payés sur ces produits s’établissent en moyenne à 8,7 % ; mais plus de 50 % de ces produits ne sont pas encore passés en phase structurée." "Est-ce l’offre ou la demande qu’il faut incriminer ? Nous sommes équipés, comme nous vous l’avons dit, de systèmes qui permettent de tout « tracer ». Sur la période 2004-2008, nos clients nous ont transmis 8 000 propositions de réaménagement qu’ils avaient reçues des banques et 7 000 propositions de nouveaux financements comportant des produits structurés. En l’espace de quatre ans et demi ou cinq ans, 15 000 propositions bancaires de ce type leur ont donc été adressées. Pas une de ces propositions n’a une stratégie différente des autres. Or tous les décideurs financiers locaux ne pouvaient pas penser la même chose de l’évolution du dollar ou du yen. Il n’y a donc aucune ambiguïté : c’était un marché commercial, sur lequel les banques sont allées avec des moyens très importants – on a parlé d’équipes de 300 commerciaux !
Nous ne retrouvons heureusement qu’à peine 500 de ces 15 000 propositions de financement dans les produits structurés hors charte de nos bases de données. Beaucoup ont donc pu être arrêtées."
"Nous l’avons écrit en 2005 et en 2006 : cela n’a aucun sens de faire un emprunt à trente ans indexé sur le taux de change entre l’euro et le franc suisse. Sur les marchés financiers, ces options ne se traitent en général que sur un ou deux ans."
"dès cette époque, il était clair pour nous que ne pas payer de frais financiers pendant trois ans sur des produits de ce type signifiait aussi prendre « des indexations très risquées », avoir « un taux moyen de la dette biaisé », et donc « de mauvais jours à prévoir ». De plus, ces produits sont très « mal cotés ». Nous reviendrons sur ce point, car nous sommes en mesure de répondre – pour les 15 000 propositions dont nous avons eu connaissance – à une question que vous avez souvent posée lors des auditions, à savoir : combien gagnait la banque sur ces propositions ? Nous observions également que cette stratégie était «comptablement contestable», puisqu’en l’absence de provisions, le risque est reporté sur le futur."
"Nous estimons qu’il y a environ 8 milliards de produits hors charte sur le stock de dette des collectivités locales, et que la soulte à payer pour en sortir est de 10 milliards d’euros."
"nous ne parlons jamais de taux moyen ponctuel. Dans l’observatoire, nous regardons le taux moyen prospectif sur cinq ans, en anticipant les taux qui vont être payés, notamment sur les produits structurés."
"je dois dire que j’ai été surpris d’entendre parler, dans les comptes rendus des auditions précédentes, de 20 à 30 centimes. Pour ce qu’il nous a été donné de voir et de calculer, cela va bien au-delà, puisque nous les estimons au minimum à 60 centimes, et plus vraisemblablement entre 80 et 90 centimes, voire davantage à la fin de la période. Les marges sur du taux fixe à vingt ans, dans les années 1990, s’élevaient à 20, 25 ou 30 centimes selon le risque, parfois moins s’il s’agissait d’une très bonne signature."</t>
  </si>
  <si>
    <t>http://www.assemblee-nationale.fr/13/cr-cefintox/11-12/c1112020.asp#P4_114</t>
  </si>
  <si>
    <t>Klopfer</t>
  </si>
  <si>
    <t>"si la M14 a permis d’éviter un certain nombre de dérives, notamment les « factures dans les tiroirs » – telle celle du feu d’artifice du 14 juillet, par exemple, qui n’était payée qu’en janvier –, ce problème est revenu par la fenêtre à cause des produits structurés, avec cette différence que le décalage ne se limite plus à une année : on paie les premières fusées trois ou cinq ans plus tard, et le reste pendant trente ans, avec un décuplement du coût. Dans un article publié dans La Gazette des communes, le 9 avril 2007, j’ai donc écrit ceci : « il serait dommageable d’attendre les audits municipaux de l’année prochaine pour que les cadavres sortent des placards ». Or, c’est exactement ce qui s’est produit."
"j’ai refusé de participer à certaines consultations pour des missions d’assistance à maîtrise d’ouvrage financière, notamment celles de Saint-Étienne métropole et de Rouen. Constatant que la rémunération proposée était exclusivement proportionnelle aux gains budgétaires de la première année, j’ai proposé un taux de 0 %, au risque de devoir travailler bénévolement, et j’ai signalé à ces collectivités qu’il était très dangereux de faire objectivement de leur conseil un allié de la banque, en l’intéressant aux gains réalisés en leur défaveur."
"Les élus ont aussi une part de responsabilité au plan structurel : les banques – je pense à la Caisse des dépôts, à Dexia, à la Caisse d’Épargne et au Crédit agricole –, sont des acteurs extrêmement commodes pour eux. Je rappelle qu’il y a aujourd’hui environ 1 400 sociétés d’économie mixte (SEM), auxquelles il faut trouver des actionnaires minoritaires représentant entre 15 et 50 % du capital, et que 4 % des SEM distribuent des dividendes, ce qui est bien peu. Quand on ne verse pas de revenu financier aux actionnaires, il n’y a pas lieu de s’étonner qu’ils demandent, à un moment ou un autre, un renvoi d’ascenseur. Et quand le directeur financier n’est pas suffisamment complaisant, c’est au directeur général des services, voire au maire ou au président de la collectivité qu’on s’adresse. Certaines opérations n’ont pu être conclues que grâce à un feu vert donné au plus haut niveau. S’il l’a été, j’imagine que c’est parce qu’on avait des services à demander aux banques au même moment."
"Un excellent avis du Conseil national de la comptabilité, datant du 10 juillet 1987, posait pourtant le principe suivant : doit être considéré comme « couverture » un instrument qui réduit la valeur du risque auquel on est exposé. Cet avis était bien connu des services de l’État, car il était cité par la circulaire du 15 septembre 1992. Or, de quoi la catégorie 2 de la charte Gissler est-elle composée ? D’indices portant sur l’inflation, française ou européenne, et sur les écarts d’inflation. L’inflation française est un excellent indice, car les budgets y sont soumis, et l’on peut également admettre l’inflation européenne ; en revanche, il est dangereux de greffer une option, pouvant porter sur une période de trente ans, sur un écart d’inflation qui est de nature spéculative." "la charte Gissler doit être revue : dès la catégorie 2 et dès les niveaux C2 et C3, elle comporte des risques qui ne sont pas adaptés aux collectivités."
"Au plan juridique, il peut y avoir matière à inquiéter le prêteur quand l’emprunt ne fait pas référence au TEG, quand les opérations de swaps sont rédigées en anglais – en application de la loi Toubon du 4 août 1994, le contrat est considéré comme illégal –, ou quand les collectivités ont contracté après le 1er novembre 2007, date d’entrée en vigueur de la directive MIF, sans s’être déclarées comme des professionnels, la banque devant, après cette date, s’assurer que son client avait les compétences nécessaires. Selon Aaron Nimzowitsch, grand maître des échecs, « la menace est plus forte que l’exécution » : on peut obtenir, en menaçant de déplacer une pièce mettant en danger le roi adverse, un effet plus fort qu’en le faisant réellement. La simple menace d’un procès peut ainsi conduire les banques à transiger, mais il va de soi qu’il faut ensuite renoncer à s’adresser à elles."</t>
  </si>
  <si>
    <t>au 31 décembre</t>
  </si>
  <si>
    <t>"2006 avait été un point historique de la baisse des marges bancaires, qui avaient tout simplement disparu pour les grandes collectivités. Cela illustrait parfaitement la stratégie en deux temps des banquiers : l'emprunt qui peut être vendu à perte, puis le réaménagement qui reconstitue la rentabilité. Avec la crise qui secoue l'économie financière, le surenchérissement des conditions de financement a été répercuté par les banques sur les collectivités et ­entraîné une remontée des marges : alors qu'en 2006, 95 % des marges étaient inférieures à 0,02 %, ce chiffre est désormais de 1 % ! On retrouve ainsi les ­niveaux de marges du début des années 2000.
PLUS DE RÉAMÉNAGEMENTS
Aujourd'hui, près d'une proposition bancaire sur deux est une offre de réaménagement. Les réaménagements représentent 43 % des opérations de gestion de dette. Ils permettent certes, d'afficher des taux d'intérêts plus bas, mais ils demeurent avant tout pour la banque un moyen de « re-marger » sur un stock d'emprunt. La pratique reste très hétérogène mais, incontestablement, Dexia est devenu irrésistible sur ce terrain, fort d'une ingénierie financière et d'un réseau commercial au-dessus de la concurrence. Les marges bancaires moyennes sur les réaménagements sont de l'ordre de 0,35 % (contre 0,05 % sur les financements classiques) et sont d'autant plus faciles à masquer que les produits bancaires sont sophistiqués. 90 % des propositions de réaménagement se font en effet en produits structurés, ce qui résume la stratégie bancaire d'accroissement masqué de la rentabilité. C'est pourquoi certaines collectivités ont directement recours aux marchés financiers via des opérations de Swap : plus de 13 % des collectivités y ont recours, essentiellement les grandes collectivités (70 % des grandes villes possèdent aujourd'hui des Swaps)."
"En emprunts nouveaux ou en réaménagements, l'année 2007 a été riche de créations bancaires qui auraient fait fuir le financier avisé mais qui ont attiré le décideur territorial."
"Ces risques nous semblent totalement ­démesurés pour des collectivités encore peu outillées. Au seuil d'une année 2007 riche d'excès et qui a ­révélé les limites de la gestion active avant tout tournée vers le court terme au détriment du long terme. Il ne nous étonnerait pas que certaines collectivités, par leurs abus, soient en train de scier la branche sur laquelle elles sont assises. Car il y a une leçon à la crise des subprimes et à l'affaire Kerviel : le domaine financier corrige violemment ses dérives. 
Sandra de Pinho, DGA ville de Lille
sdepinho@mairie-lille.fr 
Olivier Nys, DGA ville de Lyon
olivier.nys@mairie-lyon.fr "</t>
  </si>
  <si>
    <t>http://www.territorial.fr/PAR_TPL_IDENTIFIANT/10676/TPL_CODE/TPL_REVUE_ART_FICHE/PAG_TITLE/Gestion+de+dette+%3A+%E7a+d%E9rape/47-lettre-du-cadre.htm</t>
  </si>
  <si>
    <t>CMK : "De surcroît la majoration de l’encours occasionnée par le refinancement des indemnités occulte une part de ce surcoût."</t>
  </si>
  <si>
    <t>Décision 2014/178. Formule plus complexe.</t>
  </si>
  <si>
    <t>renégocié par 2015/134 intégrant une indemnité : "Le montant total de l’indemnité compensatrice dérogatoire intégrée dans le capital du contrat de prêt de refinancement est de 6 850 000,00 euros."</t>
  </si>
  <si>
    <t>Décision 2015/134 ; voir 00892</t>
  </si>
  <si>
    <t>refinancé à hauteur de 7647134,71 € par décision 2015/415</t>
  </si>
  <si>
    <t>nouveau financement à l'occasion de la renégo</t>
  </si>
  <si>
    <t>Taux fixe à 4,29%, annulable par la banque à partir du 01/03/2002 pour Euribor 03M sans marge si Euribor 03M &gt; 6%</t>
  </si>
  <si>
    <t>Euribor 12 M + 0% si Libor USD 12 M &lt;= 7,00%, sinon Libor USD 12 M + 0%</t>
  </si>
  <si>
    <t>2 * Euribor 12 M - TEC 10 + 1,32% ; floor 0,00%</t>
  </si>
  <si>
    <t>en CHF si conversion</t>
  </si>
  <si>
    <t>3,99% jusqu'au 2/8/2010.  Si EUR-CHF &lt; 1,45 à cette date conversion du CRD en CHF à 1,5485, et indexation Libor CHF 12 M + 0,04%</t>
  </si>
  <si>
    <t>Taux fixe 2,90% si EUR-CHF ≥ 1,45, sinon 2,90% + 0,50 * (1,45 - EUR-CHF) / EUR-CHF</t>
  </si>
  <si>
    <t>(1,45 - EUR-CHF) / EUR-CHF</t>
  </si>
  <si>
    <t>Taux fixe 3,32% si USD-JPY ≥ 87, sinon 5,52%+ 0,15 * (87 - USD-JPY) / USD-JPY</t>
  </si>
  <si>
    <t>(87 - USD-JPY) / USD-JPY</t>
  </si>
  <si>
    <t>000837</t>
  </si>
  <si>
    <t>Taux fixe 3,44% si (CMS EUR 30 ans - CMS EUR 05 ans) &gt;= 0,30%, sinon (6,10% - 5 x spread)</t>
  </si>
  <si>
    <t>Taux fixe 2,99% si EUR-CHF ≥ 1,445, sinon 2,99% + 0,50 * (1,445 - EUR-CHF) / EUR-CHF</t>
  </si>
  <si>
    <t>(1,445 - EUR-CHF) / EUR-CHF</t>
  </si>
  <si>
    <t>Taux fixe 3,94% si USD-JPY ≥ 90, sinon 5% + 0,20 * (90 - USD-JPY) / USD-JPY</t>
  </si>
  <si>
    <t>(90 - USD-JPY) / USD-JPY</t>
  </si>
  <si>
    <t>4% si Libor CHF 12 M &lt;= 4,00%, sinon 1,85 * Libor CHF 12 M</t>
  </si>
  <si>
    <t>Taux fixe 3,56% si CMS GBP 10 A - CMS EUR 10 A ≥ 0,00% sinon 5,40% - 5 * (CMS GBP 10 A - CMS EUR 10 A)</t>
  </si>
  <si>
    <t>CMS GBP 10 A - CMS EUR 10 A</t>
  </si>
  <si>
    <t>Taux fixe 2,98% si EUR-CHF - EUR-USD ≥ 0 sinon 2,98% + 0,35 * (EUR-USD - EUR-CHF)</t>
  </si>
  <si>
    <t>EUR-USD - EUR-CHF</t>
  </si>
  <si>
    <t>Taux fixe 3,80% si CMS GBP 10 A - CMS EUR 10 A ≥ -0,10% sinon 4,80% - 5 * (CMS GBP 10 A - CMS EUR 10 A)</t>
  </si>
  <si>
    <t>Taux fixe 3,25% si EUR-USD ≤ 1,54 sinon 4,70% + 0,50 * (EUR-USD - 1,54) / EUR-USD</t>
  </si>
  <si>
    <t>(EUR-USD - 1,54) / EUR-USD</t>
  </si>
  <si>
    <t>4,90% - 10 * (CMS GBP 10 A - Libor JPY 03 M - 3,39%), taux flooré 3,00% et capé 11,00%</t>
  </si>
  <si>
    <t>Euribor 12 M capé 5.00% - 0,20% si Libor USD 12 M ≤ 7,25%, sinon idem + 5 * (Libor USD 12 M  - 7,25%)</t>
  </si>
  <si>
    <t>Cap_indice_1</t>
  </si>
  <si>
    <t>{compliqué}</t>
  </si>
  <si>
    <t>000845</t>
  </si>
  <si>
    <t>Taux fixe 3,89% si CMS EUR 30 A - CMS EUR 02 A ≥ 0,00% sinon 5,50% - 5 * (CMS EUR 30 A - CMS EUR 02 A)</t>
  </si>
  <si>
    <t>Taux_constaté_si_année_entière</t>
  </si>
  <si>
    <t>Encours_fin_par_emprunts</t>
  </si>
  <si>
    <t>Dont aide</t>
  </si>
  <si>
    <t>De</t>
  </si>
  <si>
    <t>Vers</t>
  </si>
  <si>
    <t>Montant</t>
  </si>
  <si>
    <t>000882</t>
  </si>
  <si>
    <t>000918</t>
  </si>
  <si>
    <t>000883</t>
  </si>
  <si>
    <t>000892</t>
  </si>
  <si>
    <t>000922</t>
  </si>
  <si>
    <t>000923</t>
  </si>
  <si>
    <t>000900</t>
  </si>
  <si>
    <t>000920</t>
  </si>
  <si>
    <t>000899</t>
  </si>
  <si>
    <t>000764</t>
  </si>
  <si>
    <t>000893</t>
  </si>
  <si>
    <t>000901</t>
  </si>
  <si>
    <t>000926</t>
  </si>
  <si>
    <t>000924</t>
  </si>
  <si>
    <t>000844</t>
  </si>
  <si>
    <t>000844-T1</t>
  </si>
  <si>
    <t>000844-T2</t>
  </si>
  <si>
    <t>000844-T3</t>
  </si>
  <si>
    <t>000929</t>
  </si>
  <si>
    <t>000896</t>
  </si>
  <si>
    <t>Fixe_ind</t>
  </si>
  <si>
    <t>Dont_IRA_sommée</t>
  </si>
  <si>
    <t>Dont_IRA_déclarée</t>
  </si>
  <si>
    <t>IRA_en_sus</t>
  </si>
  <si>
    <t>FDS_inclus</t>
  </si>
  <si>
    <t>ream 000882</t>
  </si>
  <si>
    <t>ream du 000898</t>
  </si>
  <si>
    <t>refi 000900</t>
  </si>
  <si>
    <t>Sous_titre</t>
  </si>
  <si>
    <t>refi 000861</t>
  </si>
  <si>
    <t>réam 893 et 895</t>
  </si>
  <si>
    <t>ream du 000865</t>
  </si>
  <si>
    <t>000925</t>
  </si>
  <si>
    <t>ream du 000887</t>
  </si>
  <si>
    <t>000927</t>
  </si>
  <si>
    <t>ream du 000908</t>
  </si>
  <si>
    <t>000921</t>
  </si>
  <si>
    <t>000919</t>
  </si>
  <si>
    <t>000915</t>
  </si>
  <si>
    <t>ream 000892</t>
  </si>
  <si>
    <t>réam du 000853</t>
  </si>
  <si>
    <t>refi 000888</t>
  </si>
  <si>
    <t>ream 000881</t>
  </si>
  <si>
    <t>ream 000858</t>
  </si>
  <si>
    <t>000894</t>
  </si>
  <si>
    <t>réam 000873</t>
  </si>
  <si>
    <t>ream 000841</t>
  </si>
  <si>
    <t>ream 000870</t>
  </si>
  <si>
    <t>Dexia Kommunalbank</t>
  </si>
  <si>
    <t>Kommunal</t>
  </si>
  <si>
    <t>Dont_refinancements_capital</t>
  </si>
  <si>
    <t>Date_refi</t>
  </si>
  <si>
    <t>"Taux fixe à 4,52%" ? Ou "Eonia post-fixé + 2,40%" ?</t>
  </si>
  <si>
    <t>000769</t>
  </si>
  <si>
    <t>"Fixe à phase 5,54%" ou  "Euribor 12 M + 0,45%" (ceci constaté sur années récentes)</t>
  </si>
  <si>
    <t>Déséquilibre de -211 666, annuité bien inscrite 0 au CA</t>
  </si>
  <si>
    <t>"Taux fixe à 4,99%" ou "BTAN + 0,45%"</t>
  </si>
  <si>
    <t>la moitié a été refinancée</t>
  </si>
  <si>
    <t>erreur de colonne amort / intérêts ? Ou ICNE n-1 ?</t>
  </si>
  <si>
    <t>Categorie</t>
  </si>
  <si>
    <t>Fixe à phase</t>
  </si>
  <si>
    <t>De_non_1A</t>
  </si>
  <si>
    <t>Non_st</t>
  </si>
  <si>
    <t>Restr</t>
  </si>
  <si>
    <t>Struct</t>
  </si>
  <si>
    <t>Montants</t>
  </si>
  <si>
    <t>Annee_signature</t>
  </si>
  <si>
    <t>Taux moyens des prêts (fixes) contractés par Argenteuil</t>
  </si>
  <si>
    <t>Intérêt_dû</t>
  </si>
  <si>
    <t>Vérif_encours_avec_precedent</t>
  </si>
  <si>
    <t>Euribor 12 M + 0,04% jusqu'au 1/4/2011 [renégocié avant]. Si EUR-CHF &lt; 1,45 à cette date conversion du CRD en CHF à 1,5485 et indexation Libor CHF 12 M + 0,04%</t>
  </si>
  <si>
    <t>Refinancement</t>
  </si>
  <si>
    <t>Année_refi</t>
  </si>
  <si>
    <t>Vérif_emprunts_années</t>
  </si>
  <si>
    <t>Incohérence avec les CA : peu mobilisé ?</t>
  </si>
  <si>
    <t>Taux fixe 3,50% à barrière 6,50% sur Libor USD 12 M [selon CA2006 : Stibor 12 mois]</t>
  </si>
  <si>
    <t>Annee_debut</t>
  </si>
  <si>
    <t>Encours_absents_nouveaux</t>
  </si>
  <si>
    <t>Encours_absents_clos</t>
  </si>
  <si>
    <t>Encours_absents_annee_debut</t>
  </si>
  <si>
    <t>Encours_moyens_estimés</t>
  </si>
  <si>
    <t>Taux_intérêt_estimé</t>
  </si>
  <si>
    <t>Divers</t>
  </si>
  <si>
    <t>Étiquettes de lignes</t>
  </si>
  <si>
    <t>Total</t>
  </si>
  <si>
    <t>Étiquettes de colonnes</t>
  </si>
  <si>
    <t>Surcout_capital_estimé</t>
  </si>
  <si>
    <t>Eonia + Conso</t>
  </si>
  <si>
    <t>Encours 18 698 340 dans le mapping</t>
  </si>
  <si>
    <t>Encours 9 050 719 selon le mapping (crédit revolving ?)</t>
  </si>
  <si>
    <t>Rien au CA 2006 ?</t>
  </si>
  <si>
    <t>non encore mobilisé ?</t>
  </si>
  <si>
    <t>Ajout FrLN</t>
  </si>
  <si>
    <t>000881</t>
  </si>
  <si>
    <t>[réam de 000871 ?]</t>
  </si>
  <si>
    <t>ajout à partir de CA 2011</t>
  </si>
  <si>
    <t>Interet_nets_par_emprunts</t>
  </si>
  <si>
    <t>Encours_moyen</t>
  </si>
  <si>
    <t>Date_fin</t>
  </si>
  <si>
    <t>Encours_moyen_par_emprunts</t>
  </si>
  <si>
    <t>Taux OAT 10 ans</t>
  </si>
  <si>
    <t>Taux moyen de la dette locale</t>
  </si>
  <si>
    <t>Taux moyens nouveaux emprunts</t>
  </si>
  <si>
    <t>locaux</t>
  </si>
  <si>
    <t>Livr_A</t>
  </si>
  <si>
    <t>IRA "sèche" et ∆ capital</t>
  </si>
  <si>
    <t>Intérêts nets Argenteuil</t>
  </si>
  <si>
    <t>Encours_fin_autres_emprunts</t>
  </si>
  <si>
    <t>Amortissement_par_emprunts</t>
  </si>
  <si>
    <t>Encours moyen Argenteuil estimé</t>
  </si>
  <si>
    <t>IRA suppl. aidée</t>
  </si>
  <si>
    <t>Différentiel /OAT 2013-2017</t>
  </si>
  <si>
    <t>Taux moyen dette Argenteuil (?)</t>
  </si>
  <si>
    <t>+~1% de surcoût de renégociation intégrant les restructurations d'emprunts structurés.</t>
  </si>
  <si>
    <t>L'impact total sur les comptes serait de l'ordre de :</t>
  </si>
  <si>
    <t>* ~1% de taux d'intérêt supplémentaire sur les seuls emprunts venant de restructurations,</t>
  </si>
  <si>
    <t>* ~65 M€ de restructurations ;</t>
  </si>
  <si>
    <t>sur leur durée de vie (au-delà de 2018),</t>
  </si>
  <si>
    <t>mais sans double-compter ceux issus de restructurations aidées</t>
  </si>
  <si>
    <t>(le surcoût de taux d'intérêt est pris en compte dans "IRA suppl. aidée").</t>
  </si>
  <si>
    <t>* ~0 (moins de 5 M€ en valeur absolue) sur le ∆ taux d'intérêt pendant la vie des emprunts structurés,</t>
  </si>
  <si>
    <t>Depuis 2012, Argenteuil emprunterait ~1% plus cher que le marché,</t>
  </si>
  <si>
    <t>pas dans le récap ?</t>
  </si>
  <si>
    <t>dans le récap : encours : 14 416 749</t>
  </si>
  <si>
    <t>pourquoi ~10% sur Euribor ?</t>
  </si>
  <si>
    <t>Somme sur Refinancement</t>
  </si>
  <si>
    <t>Total Somme sur Refinancement</t>
  </si>
  <si>
    <t>Somme sur Intérêt</t>
  </si>
  <si>
    <t>Total Somme sur Intérêt</t>
  </si>
  <si>
    <t>Somme sur Amort</t>
  </si>
  <si>
    <t>Total Somme sur Amort</t>
  </si>
  <si>
    <t>non mentionné en CA 2001</t>
  </si>
  <si>
    <t>encours au récap et au CA : 1 379 254</t>
  </si>
  <si>
    <t>encours au récap : 1 379 254, au CA : 1 304 023</t>
  </si>
  <si>
    <t>étranges intérêts !</t>
  </si>
  <si>
    <t>Max sur Encours_31_dec</t>
  </si>
  <si>
    <t>Total Max sur Encours_31_dec</t>
  </si>
  <si>
    <t>encours indiqué en CA 457 347 (comme l'amortissement) : faute de frappe</t>
  </si>
  <si>
    <t>∆ capital bizarre</t>
  </si>
  <si>
    <t>Eonia inclus dans les intérêts</t>
  </si>
  <si>
    <t>encours manque dans le mapping ?</t>
  </si>
  <si>
    <t>Eonia seul dans intérêts</t>
  </si>
  <si>
    <t>Eonia seul dans intérêts ; tirage Eonia 02 dans encours</t>
  </si>
  <si>
    <t>encours manque dans le mapping ? Eonia dans les intérêts.</t>
  </si>
  <si>
    <t>corriger la  date effective de refinancement</t>
  </si>
  <si>
    <t>revoir l'encours  ?</t>
  </si>
  <si>
    <t>revoir la date des refinancements ?</t>
  </si>
  <si>
    <t>revoir la date de début (mobilisation)</t>
  </si>
  <si>
    <t>intérêts y c 37088,04 indiqués en "revo-Eonia"</t>
  </si>
  <si>
    <t>intérêts Eonia</t>
  </si>
  <si>
    <t>Date mapping</t>
  </si>
  <si>
    <t>Date_debut_indiquee</t>
  </si>
  <si>
    <t>Date_debut_recalculee</t>
  </si>
  <si>
    <t>intérêts payés à la fois sur 847/848 et 857/858  ?</t>
  </si>
  <si>
    <t>000867-Eonia</t>
  </si>
  <si>
    <t>CA2012</t>
  </si>
  <si>
    <t>CA2010</t>
  </si>
  <si>
    <t>Crédit Agricole dans les listes fournies par la DAF, Dexia CL au CA 2010</t>
  </si>
  <si>
    <t>ne peut pas avoir été refinané au 1/1/10 vu les ICNE, mais le 876 (qui refinance) a 0 d'intérêts et d'ICNE =&gt; 1/10/10 ?</t>
  </si>
  <si>
    <t>dates pas claires. 871 refi 833. Supposé au 1/10/10 (peut-être que les échéances sont semestrielles ?…)</t>
  </si>
  <si>
    <t>CA2011</t>
  </si>
  <si>
    <t>date modifiée car n'apparaît pas en  CA 2011</t>
  </si>
  <si>
    <t>le 000881 n'apparaît pas dans le tableau (000871 ?). La date de 1/5/12 est indiquée en CA2011 p. IV A2.9</t>
  </si>
  <si>
    <t>"réam du 000860" date selon  CA2012 p. IV A2.9</t>
  </si>
  <si>
    <t>vers 892</t>
  </si>
  <si>
    <t>insertion 881 FrLN source CA 2012 IV A2.9</t>
  </si>
  <si>
    <t>date de passage de 871 à 881 toujours pas claire</t>
  </si>
  <si>
    <t>l'encours ne figure pas au BP 2013 : 19 853 070 figure au CA 2013 : capital remboursé quand ??? ; 0 en fin d'année selon CA2012.</t>
  </si>
  <si>
    <t>pas vue en CA2010, sans doute une erreur technique. Ici à partir de CA2011 et CA2009</t>
  </si>
  <si>
    <t>amortissement réestimé, pas trouvé en CA  (peut-être mal cherché)</t>
  </si>
  <si>
    <t>les intérêts de l'année sont inférieurs aux ICNE de la précédente</t>
  </si>
  <si>
    <t>encours supprimé au 31 déc car figure sur le 00881 en CA</t>
  </si>
  <si>
    <t>CA2007</t>
  </si>
  <si>
    <t>on ajoute 3 517 277 d'amortissement car le prêt est remboursé sec</t>
  </si>
  <si>
    <t>ajout dans le montant, des 2 M€ de nouveaux financements, activés en 2008 selon les CA.</t>
  </si>
  <si>
    <t>on décale la date de bascule de 000802 au 1/4/8 puisque seul 00802 apparaît en CA2007</t>
  </si>
  <si>
    <t>CA2004</t>
  </si>
  <si>
    <t>à cette date Eonia (capital partiel)</t>
  </si>
  <si>
    <t>CA2005</t>
  </si>
  <si>
    <t>Au lieu de 7500000. Je considère que 000815 n'avait jamais dépassé son encours de fin 2004 soit 3 470 494.</t>
  </si>
  <si>
    <t>Au lieu de 6000000.</t>
  </si>
  <si>
    <t>Date spécifique de reprise</t>
  </si>
  <si>
    <t>∆ encours normal : reprise décalée de 000818</t>
  </si>
  <si>
    <t>date effective de refinancement corrigée à fin 2008</t>
  </si>
  <si>
    <t>date hypothétique</t>
  </si>
  <si>
    <t>date modifiée car absent en CA2007</t>
  </si>
  <si>
    <t>dates des -T alignées pour éviter des recouvrements d'encours avec 000844</t>
  </si>
  <si>
    <t>pas vu en CA 2009 (page manquante ?) reconstitué ici</t>
  </si>
  <si>
    <t>CA2018</t>
  </si>
  <si>
    <r>
      <t>solde 3 026 628</t>
    </r>
    <r>
      <rPr>
        <b/>
        <sz val="12"/>
        <color theme="1"/>
        <rFont val="Calibri"/>
        <family val="2"/>
        <scheme val="minor"/>
      </rPr>
      <t xml:space="preserve"> selon récap. Cohérent avec l'amortissement au CA (pas  avec l'encours au CA : 2 841 776). Je modifie plutôt l'amortissement au CA. Changement de conditions financières au 1/3/18 par DM 2018/209.</t>
    </r>
  </si>
  <si>
    <t>CA2015</t>
  </si>
  <si>
    <t>capital : reconstitué</t>
  </si>
  <si>
    <t>montant modifié pour correspondre à l'encours restant</t>
  </si>
  <si>
    <t>idem 000853 à taux plus élevé. Montant modifié pour correspondre à l'encours restant.</t>
  </si>
  <si>
    <t>Montant de nominal renégocié selon CA2012</t>
  </si>
  <si>
    <t>la CA2012 indique : 15824468 pour le contrat renégocié, mais cela inclut 3 M€ frais.</t>
  </si>
  <si>
    <t>base CA 2012 IV A2.9 sauf les ICNE</t>
  </si>
  <si>
    <t>ICNE selon CA 2012 IV A2.9</t>
  </si>
  <si>
    <t>CA2013</t>
  </si>
  <si>
    <t>CA2016</t>
  </si>
  <si>
    <t>J'ajoute à l'amortissement le CRD puisque 0 en fin d'année.</t>
  </si>
  <si>
    <t>Et non 193967 d'intérêts. Selon CA, IV A2.9. Vu le montant du nouveau prêt je considère que l'amortissement y est intégré (n'a pas été payé)</t>
  </si>
  <si>
    <t>CA2017</t>
  </si>
  <si>
    <t>J'ajoute à l'amortissement les 4 791 666 restant à rembourser.</t>
  </si>
  <si>
    <t>hypothèse IRA. Sinon, argent frais.</t>
  </si>
  <si>
    <t>Correspond au CRD.</t>
  </si>
  <si>
    <t>y compris Dexia Kommunalbank</t>
  </si>
  <si>
    <t>décalage de date début vus intérêts et ICNE 2007 : on décale au 31/12/07 pour respecter la CA 2007</t>
  </si>
  <si>
    <t>encours 0 en fin d'année en CA (Eonia)</t>
  </si>
  <si>
    <t>reconstitué à partir des totaux par prêteur =&gt; ICNE inconnus =&gt; capital porté à 4M€ car 000851 ne faisait pas d'amortissements.</t>
  </si>
  <si>
    <t>capital porté à 4M€ car 000851 ne faisait pas d'amortissements.</t>
  </si>
  <si>
    <t>porté à 4M€ car 000851 ne faisait pas d'amortissements.</t>
  </si>
  <si>
    <t>ICNE_par_emprunts</t>
  </si>
  <si>
    <t>Frais_par_emprunts</t>
  </si>
  <si>
    <t>Catégorie</t>
  </si>
  <si>
    <t>vx</t>
  </si>
  <si>
    <t>Nous comptons 4 M€ d'encours en plus (Eonia)</t>
  </si>
  <si>
    <t>Derniere annee avec vieux emprunts</t>
  </si>
  <si>
    <t>2007 mais ambiguité d'encours en 2007</t>
  </si>
  <si>
    <t>Blanc</t>
  </si>
  <si>
    <t>Taux par catégorie</t>
  </si>
  <si>
    <t>Somme sur Interet_nets_par_emprunts</t>
  </si>
  <si>
    <t>Moyenne sur Taux par catégorie</t>
  </si>
  <si>
    <t>Somme sur Encours_moyen_par_emprunts</t>
  </si>
  <si>
    <t>Restr_aidé</t>
  </si>
  <si>
    <t>Restr_sec</t>
  </si>
  <si>
    <t>∆ intérêts</t>
  </si>
  <si>
    <t>(Encours au 31/12/18 * Durée restante au 31/12/18)/2</t>
  </si>
  <si>
    <t>∆ taux</t>
  </si>
  <si>
    <t>∆ capital</t>
  </si>
  <si>
    <t>IRA_check_total_vers</t>
  </si>
  <si>
    <t>vx_CDC</t>
  </si>
  <si>
    <t>vx_Dexia CL</t>
  </si>
  <si>
    <t>vx_Caisse d'Épargne</t>
  </si>
  <si>
    <t>vx_Crédit Mutuel</t>
  </si>
  <si>
    <t>vx_Société générale</t>
  </si>
  <si>
    <t>vx_Crédit Foncier</t>
  </si>
  <si>
    <t>vx_Auxifip CEPME</t>
  </si>
  <si>
    <t>vx_Natixis</t>
  </si>
  <si>
    <t>vx_Krebitbank BW</t>
  </si>
  <si>
    <t>vx_Deutsche Hypothekenbank</t>
  </si>
  <si>
    <t>vx_Rheinboden Hypothekenbank</t>
  </si>
  <si>
    <t>vx_Crédit Agricole</t>
  </si>
  <si>
    <t>IRA aidée</t>
  </si>
  <si>
    <t>IRA non aidées</t>
  </si>
  <si>
    <t>IRA aidées</t>
  </si>
  <si>
    <t>Demi-durée restante</t>
  </si>
  <si>
    <t>avec leur coût en intérêts futurs hors surcoût en intérêts</t>
  </si>
  <si>
    <t>coût en sur-intérêts</t>
  </si>
  <si>
    <t>Intérêts associés</t>
  </si>
  <si>
    <t>Vers 6F</t>
  </si>
  <si>
    <t>De 6F vers 6F</t>
  </si>
  <si>
    <t>De 6F</t>
  </si>
  <si>
    <t>Date sign</t>
  </si>
  <si>
    <t>https://financeactive.com/fr/presse/18-04-2019-communique-de-presse-observatoire-finance-active-2019-de-la-dette-des-collectivites-locales/</t>
  </si>
  <si>
    <t>Lisez-moi du 27 février 2020</t>
  </si>
  <si>
    <t xml:space="preserve">pour le classeur Excel </t>
  </si>
  <si>
    <t>Emprunts_stuctures_Argenteuil_4mai2019_27fev2020.xlsx</t>
  </si>
  <si>
    <t>Frédéric Lefebvre-Naré</t>
  </si>
  <si>
    <t>Ce classeur comprend l'ensemble des données et des calculs qui ont conduit aux estimations proposées</t>
  </si>
  <si>
    <t>à la mission spéciale d'étude sur les emprunts de la Ville d'Argenteuil.</t>
  </si>
  <si>
    <t>lors de la dernière réunion, le 18 juin 2019.</t>
  </si>
  <si>
    <t>Le contenu de ce classeur est le suivant :</t>
  </si>
  <si>
    <t>emprunts</t>
  </si>
  <si>
    <t>Liste de 148 emprunts contractés du 1/12/99 au 26/12/18.</t>
  </si>
  <si>
    <r>
      <t>Certains de ces emprunts constituent des refinancements pour tout ou partie de leur montant : colonne</t>
    </r>
    <r>
      <rPr>
        <i/>
        <sz val="12"/>
        <color theme="1"/>
        <rFont val="Calibri"/>
        <scheme val="minor"/>
      </rPr>
      <t xml:space="preserve"> Dont_refinancements_capital, </t>
    </r>
    <r>
      <rPr>
        <sz val="12"/>
        <color theme="1"/>
        <rFont val="Calibri"/>
        <family val="2"/>
        <scheme val="minor"/>
      </rPr>
      <t xml:space="preserve">calculée à partir de la feuille </t>
    </r>
    <r>
      <rPr>
        <b/>
        <sz val="12"/>
        <color theme="1"/>
        <rFont val="Calibri"/>
        <family val="2"/>
        <scheme val="minor"/>
      </rPr>
      <t>refinancements</t>
    </r>
  </si>
  <si>
    <r>
      <t>Certains de ces emprunts seront ensuite refinancés : colonne</t>
    </r>
    <r>
      <rPr>
        <i/>
        <sz val="12"/>
        <color theme="1"/>
        <rFont val="Calibri"/>
        <scheme val="minor"/>
      </rPr>
      <t xml:space="preserve"> Date_refi, </t>
    </r>
    <r>
      <rPr>
        <sz val="12"/>
        <color theme="1"/>
        <rFont val="Calibri"/>
        <family val="2"/>
        <scheme val="minor"/>
      </rPr>
      <t xml:space="preserve">calculée à partir de la feuille </t>
    </r>
    <r>
      <rPr>
        <b/>
        <sz val="12"/>
        <color theme="1"/>
        <rFont val="Calibri"/>
        <family val="2"/>
        <scheme val="minor"/>
      </rPr>
      <t>refinancements</t>
    </r>
  </si>
  <si>
    <r>
      <t xml:space="preserve">Les colonnes W à AP constituent une mise à plat de la formule de calcul des intérêts ; mais celui-ci est compliqué dans le cas de beaucoup d'emprunts structurés : si la colonne </t>
    </r>
    <r>
      <rPr>
        <i/>
        <sz val="12"/>
        <color theme="1"/>
        <rFont val="Calibri"/>
        <scheme val="minor"/>
      </rPr>
      <t>OK</t>
    </r>
    <r>
      <rPr>
        <sz val="12"/>
        <color theme="1"/>
        <rFont val="Calibri"/>
        <family val="2"/>
        <scheme val="minor"/>
      </rPr>
      <t xml:space="preserve"> vaut 2 (= non), cela signifie que les colonnes W à AP ne rendent pas, ou imparfaitement, compte de la formule de calcul.</t>
    </r>
  </si>
  <si>
    <t>refinancements</t>
  </si>
  <si>
    <t>Liste de 104 opérations de refinancement du 25/12/01 au 25/02/18.</t>
  </si>
  <si>
    <t>Une ligne figure pour chaque couple "emprunt refinancé, emprunt refinançant" ;</t>
  </si>
  <si>
    <t>sachant que les contrats de refinancement impliquent souvent plusieurs tels couples ;</t>
  </si>
  <si>
    <t xml:space="preserve">par exemple le refinancement, le 1/04/05, de 14,472 M€ sur les emprunts </t>
  </si>
  <si>
    <t>000798, 000800, 000801, par l'emprunt 000820 (soit 3 lignes dans cette table).</t>
  </si>
  <si>
    <r>
      <t xml:space="preserve">La date de signature </t>
    </r>
    <r>
      <rPr>
        <i/>
        <sz val="12"/>
        <color theme="1"/>
        <rFont val="Calibri"/>
        <scheme val="minor"/>
      </rPr>
      <t xml:space="preserve">date_sign </t>
    </r>
    <r>
      <rPr>
        <sz val="12"/>
        <color theme="1"/>
        <rFont val="Calibri"/>
        <family val="2"/>
        <scheme val="minor"/>
      </rPr>
      <t xml:space="preserve">peut différer de la date à laquelle ces refinancements sont considérés comme ayant lieu, </t>
    </r>
    <r>
      <rPr>
        <i/>
        <sz val="12"/>
        <color theme="1"/>
        <rFont val="Calibri"/>
        <scheme val="minor"/>
      </rPr>
      <t>Date_refi</t>
    </r>
  </si>
  <si>
    <r>
      <t xml:space="preserve">Quand le Fonds de Soutien (FDS) prend en charge une partie du montant de l'IRA, la contribution du FDS figure dans la colonne </t>
    </r>
    <r>
      <rPr>
        <i/>
        <sz val="12"/>
        <color theme="1"/>
        <rFont val="Calibri"/>
        <scheme val="minor"/>
      </rPr>
      <t>FDS_inclus</t>
    </r>
  </si>
  <si>
    <r>
      <t xml:space="preserve">Quand une indemnité de remboursement anticipé (IRA) est explicitement ajoutée au montant refinancé (et fait donc partie du capital emprunté par le nouvel emprunt), elle figure dans la colonne </t>
    </r>
    <r>
      <rPr>
        <i/>
        <sz val="12"/>
        <color theme="1"/>
        <rFont val="Calibri"/>
        <scheme val="minor"/>
      </rPr>
      <t>IRA_en_sus</t>
    </r>
    <r>
      <rPr>
        <sz val="12"/>
        <color theme="1"/>
        <rFont val="Calibri"/>
        <family val="2"/>
        <scheme val="minor"/>
      </rPr>
      <t xml:space="preserve">, qui alimente la colonne </t>
    </r>
    <r>
      <rPr>
        <i/>
        <sz val="12"/>
        <color theme="1"/>
        <rFont val="Calibri"/>
        <scheme val="minor"/>
      </rPr>
      <t>Dont_IRA_sommée</t>
    </r>
    <r>
      <rPr>
        <sz val="12"/>
        <color theme="1"/>
        <rFont val="Calibri"/>
        <family val="2"/>
        <scheme val="minor"/>
      </rPr>
      <t xml:space="preserve"> de la feuille </t>
    </r>
    <r>
      <rPr>
        <b/>
        <sz val="12"/>
        <color theme="1"/>
        <rFont val="Calibri"/>
        <family val="2"/>
        <scheme val="minor"/>
      </rPr>
      <t>emprunts.</t>
    </r>
  </si>
  <si>
    <t>emprunts_annees</t>
  </si>
  <si>
    <r>
      <t xml:space="preserve">La feuille emprunts_annees reprend les comptes administratifs année par année et indique pour chaque emprunt en cours chaque année, les montants de </t>
    </r>
    <r>
      <rPr>
        <i/>
        <sz val="12"/>
        <color theme="1"/>
        <rFont val="Calibri"/>
        <scheme val="minor"/>
      </rPr>
      <t>Capital, Intérêt, Amortissement, Frais, ICNE…</t>
    </r>
  </si>
  <si>
    <r>
      <t xml:space="preserve">De nombreuses exceptions dans les contrats d'emprunt conduisent à porter dans cette feuille, dans certains cas, des montants ou des dates différentes de celles des comptes, pour la cohérence d'ensemble. La colonne </t>
    </r>
    <r>
      <rPr>
        <i/>
        <sz val="12"/>
        <color theme="1"/>
        <rFont val="Calibri"/>
        <scheme val="minor"/>
      </rPr>
      <t>Observations</t>
    </r>
    <r>
      <rPr>
        <sz val="12"/>
        <color theme="1"/>
        <rFont val="Calibri"/>
        <family val="2"/>
        <scheme val="minor"/>
      </rPr>
      <t xml:space="preserve"> indique ces cas.</t>
    </r>
  </si>
  <si>
    <t>Le "mapping" auquel il est fait référence, est un diagramme listant les refinancements sur la période, fourni par la DAF à la mission d'étude et qui figure dans les annexes du rapport publié par la Ville.</t>
  </si>
  <si>
    <t>preteurs_annees</t>
  </si>
  <si>
    <r>
      <t xml:space="preserve">La feuille preteurs_annees reprend  jusqu'en 2011 les totaux par prêteur qui figurent dans les comptes administratifs annuels (dont des montants associés à des emprunts si anciens qu'ils ne figurent pas dans la feuille </t>
    </r>
    <r>
      <rPr>
        <b/>
        <sz val="12"/>
        <color theme="1"/>
        <rFont val="Calibri"/>
        <family val="2"/>
        <scheme val="minor"/>
      </rPr>
      <t>emprunts</t>
    </r>
    <r>
      <rPr>
        <sz val="12"/>
        <color theme="1"/>
        <rFont val="Calibri"/>
        <family val="2"/>
        <scheme val="minor"/>
      </rPr>
      <t>)</t>
    </r>
    <r>
      <rPr>
        <sz val="12"/>
        <color theme="1"/>
        <rFont val="Calibri"/>
        <family val="2"/>
        <scheme val="minor"/>
      </rPr>
      <t xml:space="preserve"> ; pour les années ultérieures, elle fait le calcul des totaux par prêteur à partir de la feuille </t>
    </r>
    <r>
      <rPr>
        <b/>
        <sz val="12"/>
        <color theme="1"/>
        <rFont val="Calibri"/>
        <family val="2"/>
        <scheme val="minor"/>
      </rPr>
      <t>emprunts_annees</t>
    </r>
    <r>
      <rPr>
        <sz val="12"/>
        <color theme="1"/>
        <rFont val="Calibri"/>
        <family val="2"/>
        <scheme val="minor"/>
      </rPr>
      <t>.</t>
    </r>
  </si>
  <si>
    <r>
      <t xml:space="preserve">Cette feuille a notamment permis divers contrôles de cohérence entre les saisies de la feuille emprunts_annees, et les comptes annuels successifs ; par exemple via la colonne </t>
    </r>
    <r>
      <rPr>
        <i/>
        <sz val="12"/>
        <color theme="1"/>
        <rFont val="Calibri"/>
        <scheme val="minor"/>
      </rPr>
      <t>Encours_fin_selon_suivante_∆</t>
    </r>
    <r>
      <rPr>
        <sz val="12"/>
        <color theme="1"/>
        <rFont val="Calibri"/>
        <family val="2"/>
        <scheme val="minor"/>
      </rPr>
      <t>.</t>
    </r>
  </si>
  <si>
    <t>categories_annees</t>
  </si>
  <si>
    <r>
      <t xml:space="preserve">Dans cette feuille, les </t>
    </r>
    <r>
      <rPr>
        <i/>
        <sz val="12"/>
        <color theme="1"/>
        <rFont val="Calibri"/>
        <scheme val="minor"/>
      </rPr>
      <t>Encours</t>
    </r>
    <r>
      <rPr>
        <sz val="12"/>
        <color theme="1"/>
        <rFont val="Calibri"/>
        <family val="2"/>
        <scheme val="minor"/>
      </rPr>
      <t xml:space="preserve"> (de Capital), </t>
    </r>
    <r>
      <rPr>
        <i/>
        <sz val="12"/>
        <color theme="1"/>
        <rFont val="Calibri"/>
        <scheme val="minor"/>
      </rPr>
      <t>Intérêt, Amortissement, Frais, ICNE…</t>
    </r>
    <r>
      <rPr>
        <sz val="12"/>
        <color theme="1"/>
        <rFont val="Calibri"/>
        <family val="2"/>
        <scheme val="minor"/>
      </rPr>
      <t xml:space="preserve"> sont totalisés à partir de la feuille </t>
    </r>
    <r>
      <rPr>
        <b/>
        <sz val="12"/>
        <color theme="1"/>
        <rFont val="Calibri"/>
        <family val="2"/>
        <scheme val="minor"/>
      </rPr>
      <t>emprunts_annees,</t>
    </r>
    <r>
      <rPr>
        <sz val="12"/>
        <color theme="1"/>
        <rFont val="Calibri"/>
        <family val="2"/>
        <scheme val="minor"/>
      </rPr>
      <t xml:space="preserve"> par année donc, mais aussi par catégorie d'emprunt, selon la nomenclature suivante :</t>
    </r>
  </si>
  <si>
    <r>
      <t xml:space="preserve">"vieux" emprunts, c'est-à-dire tous ceux antérieurs à ceux qui figurent dans la feuille </t>
    </r>
    <r>
      <rPr>
        <b/>
        <sz val="12"/>
        <color theme="1"/>
        <rFont val="Calibri"/>
        <family val="2"/>
        <scheme val="minor"/>
      </rPr>
      <t>emprunts</t>
    </r>
    <r>
      <rPr>
        <sz val="12"/>
        <color theme="1"/>
        <rFont val="Calibri"/>
        <family val="2"/>
        <scheme val="minor"/>
      </rPr>
      <t>.</t>
    </r>
  </si>
  <si>
    <r>
      <t xml:space="preserve">Les catégories suivantes sont indiquées dans la colonne </t>
    </r>
    <r>
      <rPr>
        <i/>
        <sz val="12"/>
        <color theme="1"/>
        <rFont val="Calibri"/>
        <scheme val="minor"/>
      </rPr>
      <t>Categorie</t>
    </r>
    <r>
      <rPr>
        <sz val="12"/>
        <color theme="1"/>
        <rFont val="Calibri"/>
        <family val="2"/>
        <scheme val="minor"/>
      </rPr>
      <t xml:space="preserve"> de la feuille </t>
    </r>
    <r>
      <rPr>
        <b/>
        <sz val="12"/>
        <color theme="1"/>
        <rFont val="Calibri"/>
        <family val="2"/>
        <scheme val="minor"/>
      </rPr>
      <t>emprunts :</t>
    </r>
  </si>
  <si>
    <t>Emprunts "1A" selon la charte Gissler dont la base d'indexation est le taux du livret A.</t>
  </si>
  <si>
    <t>Restructuré avec une aide d'État.</t>
  </si>
  <si>
    <t>Restructuré sans aide d'État.</t>
  </si>
  <si>
    <t>Emprunts qui ne sont pas en catégorie "1A" de la charte Gissler.</t>
  </si>
  <si>
    <r>
      <t>Les emprunts restructurés (</t>
    </r>
    <r>
      <rPr>
        <i/>
        <sz val="12"/>
        <color theme="1"/>
        <rFont val="Calibri"/>
        <scheme val="minor"/>
      </rPr>
      <t>restr</t>
    </r>
    <r>
      <rPr>
        <sz val="12"/>
        <color theme="1"/>
        <rFont val="Calibri"/>
        <family val="2"/>
        <scheme val="minor"/>
      </rPr>
      <t xml:space="preserve">) sont ceux de catégorie "1A", dont au moins une partie du capital emprunté vient en refinancement (feuille </t>
    </r>
    <r>
      <rPr>
        <b/>
        <sz val="12"/>
        <color theme="1"/>
        <rFont val="Calibri"/>
        <family val="2"/>
        <scheme val="minor"/>
      </rPr>
      <t>refinancements</t>
    </r>
    <r>
      <rPr>
        <sz val="12"/>
        <color theme="1"/>
        <rFont val="Calibri"/>
        <family val="2"/>
        <scheme val="minor"/>
      </rPr>
      <t>) d'emprunts antérieurs qui n'étaient pas en catégorie 1A de la charte Gissler.</t>
    </r>
  </si>
  <si>
    <t>Non structuré : autres emprunts de catégorie "1A".</t>
  </si>
  <si>
    <r>
      <t xml:space="preserve">La modélisation du surcoût des emprunts toxiques repose sur la comparaison des coûts de ces différentes catégories d'emprunts ; sachant que ce coût peut apparaître soit dans la vie de l'emprunt structuré (par des intérêts très élevés une année donnée…), soit par une IRA lors d'une restructuration, soit par des intérêts élevés de l'emprunt restructuré </t>
    </r>
    <r>
      <rPr>
        <i/>
        <sz val="12"/>
        <color theme="1"/>
        <rFont val="Calibri"/>
        <scheme val="minor"/>
      </rPr>
      <t>Restr</t>
    </r>
    <r>
      <rPr>
        <sz val="12"/>
        <color theme="1"/>
        <rFont val="Calibri"/>
        <family val="2"/>
        <scheme val="minor"/>
      </rPr>
      <t xml:space="preserve"> en comparaison de ce que la Ville négocie, par exemple, sur des emprunts nouveaux </t>
    </r>
    <r>
      <rPr>
        <i/>
        <sz val="12"/>
        <color theme="1"/>
        <rFont val="Calibri"/>
        <scheme val="minor"/>
      </rPr>
      <t>Non_st.</t>
    </r>
  </si>
  <si>
    <t>pour_pointage_par_emprunt</t>
  </si>
  <si>
    <t>graphe_pointage</t>
  </si>
  <si>
    <r>
      <t xml:space="preserve">Autre visualisation des données de la feuille </t>
    </r>
    <r>
      <rPr>
        <b/>
        <sz val="12"/>
        <color theme="1"/>
        <rFont val="Calibri"/>
        <family val="2"/>
        <scheme val="minor"/>
      </rPr>
      <t>pour_pointage_par_emprunt</t>
    </r>
  </si>
  <si>
    <r>
      <t xml:space="preserve">Cette feuille de travail, partant d'un "tableau croisé dynamique" sur la feuille </t>
    </r>
    <r>
      <rPr>
        <b/>
        <sz val="12"/>
        <color theme="1"/>
        <rFont val="Calibri"/>
        <family val="2"/>
        <scheme val="minor"/>
      </rPr>
      <t>emprunts_annees,</t>
    </r>
    <r>
      <rPr>
        <sz val="12"/>
        <color theme="1"/>
        <rFont val="Calibri"/>
        <family val="2"/>
        <scheme val="minor"/>
      </rPr>
      <t xml:space="preserve"> dresse un graphique de la vie d'un emprunt (dont le n° d'ordre est saisi en A1) ; elle permet de vérifier la cohérence des montants successifs inscrits.</t>
    </r>
  </si>
  <si>
    <t>Les derniers onglets constituent un complément de documentation :</t>
  </si>
  <si>
    <t>documentation</t>
  </si>
  <si>
    <t>Diverses références web sur les types d'emprunt</t>
  </si>
  <si>
    <t>vieux</t>
  </si>
  <si>
    <r>
      <t>Années jusqu'auxquelles la Ville a eu des "vieux" (</t>
    </r>
    <r>
      <rPr>
        <i/>
        <sz val="12"/>
        <color theme="1"/>
        <rFont val="Calibri"/>
        <scheme val="minor"/>
      </rPr>
      <t>vx</t>
    </r>
    <r>
      <rPr>
        <sz val="12"/>
        <color theme="1"/>
        <rFont val="Calibri"/>
        <family val="2"/>
        <scheme val="minor"/>
      </rPr>
      <t>) emprunts en cours, selon le prêteur</t>
    </r>
  </si>
  <si>
    <t>conditions</t>
  </si>
  <si>
    <t>Conditions des emprunts des collectivités locales, selon différentes sources dont l'Observatoire de la Dette de Finance Active, et un rapport du cabinet Michel Klopfer.</t>
  </si>
  <si>
    <t>pages</t>
  </si>
  <si>
    <t>Numéros de page pertinents dans les comptes administratifs (certaines années)</t>
  </si>
  <si>
    <t>totaux</t>
  </si>
  <si>
    <t>Totaux des intérêts d'une part, des encours d'autre part, par année et par catégorie d'emprunts, selon la nomenclature précédente.</t>
  </si>
  <si>
    <t>Le graphique "encours moyens annuels" permet notamment de constater la conversion quasi-totale de la dette en emprunts structurés, entre 2002 et 2008.</t>
  </si>
  <si>
    <t>Estimations</t>
  </si>
  <si>
    <t>Monsieur le Maire, Mesdames, Messieurs,</t>
  </si>
  <si>
    <t>Dans la suite de la dernière réunion de la mission spéciale sur les emprunts, j’ai bouclé une base de données, sans trop de trous j’espère, des sommes versées depuis 2000 au titre des emprunts de la ville, en distinguant intérêt et capital. Cela me permet de vous proposer ci-dessous un premier chiffrage complet.</t>
  </si>
  <si>
    <t>Il ne porte que sur la question « conséquences du choix initial des emprunts structurés, et de leur renégociation »,  sans distinguer ces deux types de choix, ni faire d’hypothèse alternative (que se serait-il passé si telle renégociation n’avait pas eu lieu). Cela ne couvre donc qu’une partie des sujets prévus pour la mission.</t>
  </si>
  <si>
    <t>Il m’a semblé possible d’apprécier le « différentiel de taux d’intérêt » entre emprunts non structurés et emprunts structurés en se basant uniquement sur le portefeuille de la Ville à partir d’un classement des emprunts en 6 catégories :</t>
  </si>
  <si>
    <t>* emprunts structurés : tout ce qui n’est pas A1 de la charte Gissler ; en violet dans les graphiques ci-dessous ;</t>
  </si>
  <si>
    <t>* emprunts restructurés sec : emprunts A1 issus de renégociations d’emprunts structurés, sans bénéficier de l’aide d’État ; en orange ;</t>
  </si>
  <si>
    <t>* « vieux » emprunts déjà en portefeuille au 1/1/2001 : en bleu ci-dessous ;</t>
  </si>
  <si>
    <t>* emprunts non structurés (A1) souscrits depuis sans inclure de renégociation d’emprunts structurés : en vert ;</t>
  </si>
  <si>
    <t>* emprunts restructurés (A1) issus de renégociations d’emprunts structurés, avec l’aide d’État ; en brun ;</t>
  </si>
  <si>
    <r>
      <t>* emprunts indexés sur le livret A</t>
    </r>
    <r>
      <rPr>
        <sz val="11"/>
        <color rgb="FFFF2600"/>
        <rFont val="Lucida Sans"/>
      </rPr>
      <t> ; en rouge.</t>
    </r>
  </si>
  <si>
    <t>Je mets à part les deux dernières catégories :</t>
  </si>
  <si>
    <t>* emprunts restructurés (A1) issus de renégociations d’emprunts structurés, avec l’aide d’État : parce que les surcoûts attachés à ces cas ont été chiffrés par l’État, nous pouvons donc les sortir ;</t>
  </si>
  <si>
    <t>* emprunts indexés sur le livret A : je suppose que la Ville y a fait appel autant que possible (bien qu’il y ait eu une renégociation pour en sortir et passer à de l’emprunt structuré) et que leurs taux ne peuvent servir de référence pour les emprunts « commerciaux ».</t>
  </si>
  <si>
    <t>Dans chacune des catégories</t>
  </si>
  <si>
    <r>
      <t>1</t>
    </r>
    <r>
      <rPr>
        <sz val="11"/>
        <color rgb="FF000000"/>
        <rFont val="Lucida Sans"/>
      </rPr>
      <t> + </t>
    </r>
    <r>
      <rPr>
        <b/>
        <sz val="11"/>
        <color rgb="FFFF9300"/>
        <rFont val="Lucida Sans"/>
      </rPr>
      <t>2</t>
    </r>
    <r>
      <rPr>
        <sz val="11"/>
        <color rgb="FF000000"/>
        <rFont val="Lucida Sans"/>
      </rPr>
      <t> (qui résultent du fait du choix de structurer une partie de la dette) </t>
    </r>
  </si>
  <si>
    <r>
      <t>et </t>
    </r>
    <r>
      <rPr>
        <b/>
        <sz val="11"/>
        <color rgb="FF0096FF"/>
        <rFont val="Lucida Sans"/>
      </rPr>
      <t>3</t>
    </r>
    <r>
      <rPr>
        <sz val="11"/>
        <color rgb="FF000000"/>
        <rFont val="Lucida Sans"/>
      </rPr>
      <t> + </t>
    </r>
    <r>
      <rPr>
        <b/>
        <sz val="11"/>
        <color rgb="FF008F00"/>
        <rFont val="Lucida Sans"/>
      </rPr>
      <t>4</t>
    </r>
    <r>
      <rPr>
        <sz val="11"/>
        <color rgb="FF000000"/>
        <rFont val="Lucida Sans"/>
      </rPr>
      <t> (emprunts classiques), </t>
    </r>
  </si>
  <si>
    <t>il semble y avoir toujours suffisamment d’encours pour évaluer de façon assez robuste un taux d’intérêt (du stock de dette).</t>
  </si>
  <si>
    <t>Les deux courbes en trait plein rouge et verte correspondent à l’ensemble de ces deux catégories.</t>
  </si>
  <si>
    <t>Le calcul se base sur les intérêts payés dans l’année. Il serait plus juste de rattacher les ICNE à l’année qui les génère, mais mes calculs de rattachement ne sont pas au point.</t>
  </si>
  <si>
    <t>1) Estimation du surcoût en intérêts associé à l’ensemble (post)structuré (sauf les coûts des restructurations aidées) : 12,8 M€</t>
  </si>
  <si>
    <t>Si on applique chaque année le différentiel entre ces deux taux, à l’encours d’emprunts structurés ou renégociés « sec », il apparaît :</t>
  </si>
  <si>
    <t>* 23,1 M€ d’économies en 8 ans, de 2002 à 2009 inclus ;</t>
  </si>
  <si>
    <t>* 26,1 M€ de surcoûts en 9 ans, de 2010 à 2018 ;</t>
  </si>
  <si>
    <t>* 9,8 M€ environ de surcoûts futurs, jusqu’à la fin de vie des emprunts concernés ;</t>
  </si>
  <si>
    <t>soit un solde de +12,8 M€.</t>
  </si>
  <si>
    <t>2) Surcoût lié aux restructurations aidées : 46,8 M€</t>
  </si>
  <si>
    <t>Ce montant, total des IRA servant d’assiette à l’aide d’État, tient compte d’augmentations du capital à rembourser, comme de la majoration des taux d’intérêt sur les nouveaux emprunts issus de ces renégociations (en brun dans les graphiques).</t>
  </si>
  <si>
    <t>3) Autres IRA répertoriées : 28,4 M€</t>
  </si>
  <si>
    <t>Ce montant correspond aux IRA proprement dites, en capital (19,5 M€), 3,8 M€ d’intérêts générés (pris au taux « vert ») + 5,1 M€ d’intérêts futurs (après 2018, sur la durée de vie moyenne des emprunts restructurés secs) sur ce montant qui fait partie actuellement de la dette. Ces intérêts sont pris au  taux « vert » donc sans double compte avec le 1) </t>
  </si>
  <si>
    <t>4) Estimation du surcoût en capital hors IRA : 5,0 M€</t>
  </si>
  <si>
    <t>Je relève dans l’historique, de 2003 à 2007, quelques évolutions du capital d’emprunt qui semblent incohérentes à première vue, à la baisse ou à la hausse, et qui ne correspondent pas à des IRA mentionnées dans le « mapping ».  Par exemple, les évolutions de l’encours d’un emprunt libellé en devise. Cela représente 3,2 M€ et génère, au taux « vert », 1,1 M€ d’intérêts jusqu’en 2018 et 0,7 M€ d’intérêts futurs, sur la durée de vie moyenne des emprunts structurés restants.</t>
  </si>
  <si>
    <t>Dans ce total de 93,0 M€, il manque les surcoûts liés à la perte globale de performance financière de la Ville : même le taux « vert », pris ici comme référence, est pénalisé par la partie de la dette et de sa charge financière annuelle liées aux emprunts structurés.</t>
  </si>
  <si>
    <t>Inversement, il s’agit d’un total « capital + intérêts », non d’un montant actualisé à une date donnée.</t>
  </si>
  <si>
    <t>Je me tiens à la disposition  de la DAF pour revoir et valider / corriger autant que de besoin les interprétations que j’ai faites des CA sur de nombreux points. Les corrections qui pourraient être à faire peuvent représenter certaines années plusieurs M€ d’encours et plusieurs centaines de milliers d’€ d’intérêts ; mais généralement dans le même sens ; ce qui, me semble-t-il, ne modifierait pas radicalement les estimations des taux d’intérêt ; ni le total ci-dessus, qui, comme nous l’avions dit en réunion, est majoritairement constitué par des montants déjà établis par l’État lors des récentes renégociations aidées.</t>
  </si>
  <si>
    <t>Par ailleurs toute détection de grosse erreur de raisonnement dans ce qui précède, sera bienvenue également !</t>
  </si>
  <si>
    <t>Ci-dessous les montants d’intérêts par catégories, auxquels j’arrive (sans les avoir encore confrontés au total de frais financiers indiqué au CA de chaque année) :</t>
  </si>
  <si>
    <t>Meilleurs sentiments,</t>
  </si>
  <si>
    <t>Courrier du 19 mai 2019 à la mission d'étude sur les emprunts</t>
  </si>
  <si>
    <t>Courrier</t>
  </si>
  <si>
    <r>
      <t xml:space="preserve">Étape finale des calculs pour l'estimation du surcoût des emprunts structurés ; les conclusions se trouvent dans la feuille </t>
    </r>
    <r>
      <rPr>
        <b/>
        <sz val="12"/>
        <color theme="1"/>
        <rFont val="Calibri"/>
        <family val="2"/>
        <scheme val="minor"/>
      </rPr>
      <t>Courrier.</t>
    </r>
  </si>
  <si>
    <t>… mais tardivement et imparfaitement, car la toute dernière version des calculs (qui a servi aux estimations fournies</t>
  </si>
  <si>
    <t>à la mission) a "crashé" ; ce classeur est donc une version un peu antérieure sur laquelle certains calculs seraient à reconstituer.</t>
  </si>
  <si>
    <t>Cette finalisation et présentation au 27 février 2020 répond à un engagement pris devant le maire et la mission</t>
  </si>
  <si>
    <r>
      <t xml:space="preserve">La toute dernière version du classeur, notamment de ces calculs (qui a servi aux estimations fournies dans le </t>
    </r>
    <r>
      <rPr>
        <b/>
        <sz val="12"/>
        <color theme="1"/>
        <rFont val="Calibri"/>
        <family val="2"/>
        <scheme val="minor"/>
      </rPr>
      <t>Courrier</t>
    </r>
    <r>
      <rPr>
        <sz val="12"/>
        <color theme="1"/>
        <rFont val="Calibri"/>
        <family val="2"/>
        <scheme val="minor"/>
      </rPr>
      <t xml:space="preserve">) a crashé ; les calculs dans cette feuille </t>
    </r>
    <r>
      <rPr>
        <b/>
        <sz val="12"/>
        <color theme="1"/>
        <rFont val="Calibri"/>
        <family val="2"/>
        <scheme val="minor"/>
      </rPr>
      <t xml:space="preserve">Estimations </t>
    </r>
    <r>
      <rPr>
        <sz val="12"/>
        <color theme="1"/>
        <rFont val="Calibri"/>
        <family val="2"/>
        <scheme val="minor"/>
      </rPr>
      <t>sont donc incomplets, et seraient à reconstituer à partir du courrier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</si>
</sst>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1" x14ac:knownFonts="1">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i/>
      <sz val="12"/>
      <color theme="1"/>
      <name val="Arial Narrow"/>
    </font>
    <font>
      <i/>
      <sz val="11"/>
      <color theme="1"/>
      <name val="Arial Narrow"/>
    </font>
    <font>
      <sz val="11"/>
      <color theme="1"/>
      <name val="Arial Narrow"/>
    </font>
    <font>
      <i/>
      <sz val="12"/>
      <color theme="1" tint="0.499984740745262"/>
      <name val="Arial Narrow"/>
    </font>
    <font>
      <sz val="12"/>
      <color theme="1" tint="0.499984740745262"/>
      <name val="Calibri"/>
      <family val="2"/>
      <scheme val="minor"/>
    </font>
    <font>
      <sz val="12"/>
      <color rgb="FF000000"/>
      <name val="Calibri"/>
      <family val="2"/>
      <scheme val="minor"/>
    </font>
    <font>
      <i/>
      <sz val="12"/>
      <color theme="1"/>
      <name val="Calibri"/>
      <scheme val="minor"/>
    </font>
    <font>
      <b/>
      <sz val="9"/>
      <color indexed="81"/>
      <name val="Calibri"/>
      <family val="2"/>
    </font>
    <font>
      <i/>
      <sz val="12"/>
      <color rgb="FF660066"/>
      <name val="Arial Narrow"/>
    </font>
    <font>
      <sz val="11"/>
      <color rgb="FF660066"/>
      <name val="Arial Narrow"/>
    </font>
    <font>
      <sz val="12"/>
      <color rgb="FF660066"/>
      <name val="Calibri"/>
      <family val="2"/>
      <scheme val="minor"/>
    </font>
    <font>
      <sz val="12"/>
      <color theme="1"/>
      <name val="Arial Narrow"/>
    </font>
    <font>
      <b/>
      <sz val="12"/>
      <color theme="1"/>
      <name val="Calibri"/>
      <family val="2"/>
      <scheme val="minor"/>
    </font>
    <font>
      <sz val="12"/>
      <color rgb="FF000000"/>
      <name val="Arial Narrow"/>
    </font>
    <font>
      <b/>
      <sz val="12"/>
      <color theme="1"/>
      <name val="Arial Narrow"/>
    </font>
    <font>
      <strike/>
      <sz val="12"/>
      <color theme="1"/>
      <name val="Calibri"/>
      <scheme val="minor"/>
    </font>
    <font>
      <b/>
      <i/>
      <sz val="12"/>
      <color theme="1"/>
      <name val="Arial Narrow"/>
    </font>
    <font>
      <b/>
      <sz val="11"/>
      <color theme="1"/>
      <name val="Arial Narrow"/>
    </font>
    <font>
      <i/>
      <sz val="12"/>
      <color rgb="FF000000"/>
      <name val="Calibri"/>
      <scheme val="minor"/>
    </font>
    <font>
      <sz val="10"/>
      <color rgb="FF660066"/>
      <name val="Calibri"/>
      <scheme val="minor"/>
    </font>
    <font>
      <i/>
      <sz val="9"/>
      <color theme="1"/>
      <name val="Arial Narrow"/>
    </font>
    <font>
      <sz val="12"/>
      <color rgb="FF0000FF"/>
      <name val="Calibri"/>
      <family val="2"/>
      <scheme val="minor"/>
    </font>
    <font>
      <sz val="8"/>
      <name val="Calibri"/>
      <family val="2"/>
      <scheme val="minor"/>
    </font>
    <font>
      <sz val="11"/>
      <color theme="1"/>
      <name val="Calibri"/>
      <family val="2"/>
      <scheme val="minor"/>
    </font>
    <font>
      <sz val="12"/>
      <color rgb="FFFF0000"/>
      <name val="Calibri"/>
      <family val="2"/>
      <scheme val="minor"/>
    </font>
    <font>
      <sz val="12"/>
      <color indexed="8"/>
      <name val="Calibri"/>
      <family val="2"/>
    </font>
    <font>
      <b/>
      <sz val="11"/>
      <color indexed="8"/>
      <name val="Arial Narrow"/>
    </font>
    <font>
      <i/>
      <sz val="12"/>
      <color rgb="FF0000FF"/>
      <name val="Arial Narrow"/>
    </font>
    <font>
      <i/>
      <sz val="11"/>
      <color rgb="FF0000FF"/>
      <name val="Arial Narrow"/>
    </font>
    <font>
      <b/>
      <i/>
      <sz val="12"/>
      <color rgb="FF0000FF"/>
      <name val="Arial Narrow"/>
    </font>
    <font>
      <i/>
      <sz val="9"/>
      <color rgb="FF0000FF"/>
      <name val="Arial Narrow"/>
    </font>
    <font>
      <i/>
      <sz val="11"/>
      <color rgb="FF800000"/>
      <name val="Arial Narrow"/>
    </font>
    <font>
      <sz val="11"/>
      <color rgb="FF000000"/>
      <name val="LucidaSans"/>
    </font>
    <font>
      <sz val="11"/>
      <color rgb="FF942193"/>
      <name val="LucidaSans"/>
    </font>
    <font>
      <sz val="11"/>
      <color rgb="FFFF9300"/>
      <name val="LucidaSans"/>
    </font>
    <font>
      <sz val="11"/>
      <color rgb="FF0096FF"/>
      <name val="LucidaSans"/>
    </font>
    <font>
      <sz val="11"/>
      <color rgb="FF008F00"/>
      <name val="LucidaSans"/>
    </font>
    <font>
      <sz val="11"/>
      <color rgb="FF941100"/>
      <name val="LucidaSans"/>
    </font>
    <font>
      <sz val="11"/>
      <color rgb="FFFF2600"/>
      <name val="LucidaSans"/>
    </font>
    <font>
      <sz val="11"/>
      <color rgb="FFFF2600"/>
      <name val="Lucida Sans"/>
    </font>
    <font>
      <sz val="11"/>
      <color rgb="FF000000"/>
      <name val="Lucida Sans"/>
    </font>
    <font>
      <b/>
      <sz val="11"/>
      <color rgb="FF942193"/>
      <name val="Lucida Sans"/>
    </font>
    <font>
      <b/>
      <sz val="11"/>
      <color rgb="FFFF9300"/>
      <name val="Lucida Sans"/>
    </font>
    <font>
      <b/>
      <sz val="11"/>
      <color rgb="FF0096FF"/>
      <name val="Lucida Sans"/>
    </font>
    <font>
      <b/>
      <sz val="11"/>
      <color rgb="FF008F00"/>
      <name val="Lucida Sans"/>
    </font>
    <font>
      <u/>
      <sz val="11"/>
      <color rgb="FF000000"/>
      <name val="Lucida Sans"/>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FFFF66"/>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D3FDBD"/>
        <bgColor indexed="64"/>
      </patternFill>
    </fill>
  </fills>
  <borders count="4">
    <border>
      <left/>
      <right/>
      <top/>
      <bottom/>
      <diagonal/>
    </border>
    <border>
      <left/>
      <right/>
      <top/>
      <bottom style="thin">
        <color auto="1"/>
      </bottom>
      <diagonal/>
    </border>
    <border>
      <left/>
      <right/>
      <top style="thin">
        <color theme="6" tint="0.79998168889431442"/>
      </top>
      <bottom style="thin">
        <color theme="6" tint="0.79998168889431442"/>
      </bottom>
      <diagonal/>
    </border>
    <border>
      <left/>
      <right/>
      <top style="double">
        <color theme="6" tint="-0.249977111117893"/>
      </top>
      <bottom/>
      <diagonal/>
    </border>
  </borders>
  <cellStyleXfs count="1911">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47">
    <xf numFmtId="0" fontId="0" fillId="0" borderId="0" xfId="0"/>
    <xf numFmtId="0" fontId="0" fillId="0" borderId="0" xfId="0" quotePrefix="1"/>
    <xf numFmtId="4" fontId="0" fillId="0" borderId="0" xfId="0" applyNumberFormat="1"/>
    <xf numFmtId="2" fontId="0" fillId="0" borderId="0" xfId="0" applyNumberFormat="1"/>
    <xf numFmtId="10" fontId="0" fillId="0" borderId="0" xfId="0" applyNumberFormat="1"/>
    <xf numFmtId="14" fontId="0" fillId="0" borderId="0" xfId="0" applyNumberFormat="1"/>
    <xf numFmtId="1" fontId="0" fillId="0" borderId="0" xfId="0" applyNumberFormat="1"/>
    <xf numFmtId="0" fontId="5" fillId="0" borderId="1" xfId="0" applyFont="1" applyBorder="1" applyAlignment="1">
      <alignment vertical="top" wrapText="1"/>
    </xf>
    <xf numFmtId="4" fontId="5" fillId="0" borderId="1" xfId="0" applyNumberFormat="1" applyFont="1" applyBorder="1" applyAlignment="1">
      <alignment vertical="top" wrapText="1"/>
    </xf>
    <xf numFmtId="2" fontId="5" fillId="0" borderId="1" xfId="0" applyNumberFormat="1" applyFont="1" applyBorder="1" applyAlignment="1">
      <alignment vertical="top" wrapText="1"/>
    </xf>
    <xf numFmtId="1" fontId="5" fillId="0" borderId="1" xfId="0" applyNumberFormat="1" applyFont="1" applyBorder="1" applyAlignment="1">
      <alignment vertical="top" wrapText="1"/>
    </xf>
    <xf numFmtId="10" fontId="5" fillId="0" borderId="1" xfId="0" applyNumberFormat="1" applyFont="1" applyBorder="1" applyAlignment="1">
      <alignment vertical="top" wrapText="1"/>
    </xf>
    <xf numFmtId="10" fontId="0" fillId="0" borderId="0" xfId="1" applyNumberFormat="1" applyFont="1"/>
    <xf numFmtId="3" fontId="6" fillId="0" borderId="1" xfId="0" applyNumberFormat="1" applyFont="1" applyBorder="1" applyAlignment="1">
      <alignment vertical="top" wrapText="1"/>
    </xf>
    <xf numFmtId="3" fontId="7" fillId="0" borderId="0" xfId="0" applyNumberFormat="1" applyFont="1"/>
    <xf numFmtId="0" fontId="8" fillId="0" borderId="1" xfId="0" applyFont="1" applyBorder="1" applyAlignment="1">
      <alignment vertical="top" wrapText="1"/>
    </xf>
    <xf numFmtId="0" fontId="9" fillId="0" borderId="0" xfId="0" quotePrefix="1" applyFont="1"/>
    <xf numFmtId="0" fontId="9" fillId="0" borderId="0" xfId="0" applyFont="1"/>
    <xf numFmtId="14" fontId="9" fillId="0" borderId="0" xfId="0" applyNumberFormat="1" applyFont="1"/>
    <xf numFmtId="1" fontId="5" fillId="0" borderId="0" xfId="0" applyNumberFormat="1" applyFont="1" applyFill="1" applyBorder="1" applyAlignment="1">
      <alignment vertical="top" wrapText="1"/>
    </xf>
    <xf numFmtId="1" fontId="5" fillId="0" borderId="0" xfId="0" applyNumberFormat="1" applyFont="1" applyBorder="1" applyAlignment="1">
      <alignment vertical="top" wrapText="1"/>
    </xf>
    <xf numFmtId="10" fontId="7" fillId="0" borderId="0" xfId="1" applyNumberFormat="1" applyFont="1"/>
    <xf numFmtId="0" fontId="5" fillId="0" borderId="1" xfId="0" applyFont="1" applyBorder="1" applyAlignment="1">
      <alignment horizontal="left" vertical="top" wrapText="1"/>
    </xf>
    <xf numFmtId="0" fontId="0" fillId="0" borderId="0" xfId="0" applyAlignment="1">
      <alignment horizontal="center"/>
    </xf>
    <xf numFmtId="10" fontId="0" fillId="0" borderId="0" xfId="0" applyNumberFormat="1" applyAlignment="1">
      <alignment horizontal="center"/>
    </xf>
    <xf numFmtId="0" fontId="11" fillId="0" borderId="0" xfId="0" applyFont="1"/>
    <xf numFmtId="9" fontId="0" fillId="0" borderId="0" xfId="0" applyNumberFormat="1"/>
    <xf numFmtId="10" fontId="0" fillId="0" borderId="0" xfId="0" applyNumberFormat="1" applyFont="1"/>
    <xf numFmtId="0" fontId="0" fillId="0" borderId="0" xfId="0" applyFont="1" applyAlignment="1">
      <alignment vertical="top"/>
    </xf>
    <xf numFmtId="2" fontId="0" fillId="0" borderId="0" xfId="0" applyNumberFormat="1" applyFont="1" applyAlignment="1">
      <alignment vertical="top"/>
    </xf>
    <xf numFmtId="0" fontId="0" fillId="0" borderId="0" xfId="0" applyFont="1" applyAlignment="1">
      <alignment vertical="top" wrapText="1"/>
    </xf>
    <xf numFmtId="1" fontId="0" fillId="0" borderId="0" xfId="0" applyNumberFormat="1" applyFont="1" applyAlignment="1">
      <alignment horizontal="left" vertical="top" wrapText="1"/>
    </xf>
    <xf numFmtId="1" fontId="0" fillId="0" borderId="0" xfId="0" applyNumberFormat="1" applyFont="1" applyAlignment="1">
      <alignment horizontal="left" vertical="top"/>
    </xf>
    <xf numFmtId="0" fontId="0" fillId="0" borderId="0" xfId="0" applyFont="1" applyAlignment="1">
      <alignment horizontal="center" vertical="top"/>
    </xf>
    <xf numFmtId="9" fontId="0" fillId="0" borderId="0" xfId="0" applyNumberFormat="1" applyFont="1" applyAlignment="1">
      <alignment horizontal="center" vertical="top"/>
    </xf>
    <xf numFmtId="10" fontId="0" fillId="0" borderId="0" xfId="0" applyNumberFormat="1" applyFont="1" applyAlignment="1">
      <alignment horizontal="center" vertical="top"/>
    </xf>
    <xf numFmtId="0" fontId="11" fillId="0" borderId="0" xfId="0" applyFont="1" applyAlignment="1">
      <alignment vertical="top"/>
    </xf>
    <xf numFmtId="2" fontId="11" fillId="0" borderId="0" xfId="0" applyNumberFormat="1" applyFont="1" applyAlignment="1">
      <alignment vertical="top"/>
    </xf>
    <xf numFmtId="0" fontId="11" fillId="0" borderId="0" xfId="0" applyFont="1" applyAlignment="1">
      <alignment vertical="top" wrapText="1"/>
    </xf>
    <xf numFmtId="0" fontId="11" fillId="0" borderId="0" xfId="0" applyFont="1" applyAlignment="1">
      <alignment horizontal="center" vertical="top"/>
    </xf>
    <xf numFmtId="0" fontId="0" fillId="0" borderId="0" xfId="0" applyAlignment="1">
      <alignment vertical="top"/>
    </xf>
    <xf numFmtId="0" fontId="3" fillId="0" borderId="0" xfId="72" applyAlignment="1">
      <alignment vertical="top"/>
    </xf>
    <xf numFmtId="0" fontId="10" fillId="0" borderId="0" xfId="0" applyFont="1" applyAlignment="1">
      <alignment vertical="top"/>
    </xf>
    <xf numFmtId="0" fontId="0" fillId="0" borderId="0" xfId="0" applyAlignment="1">
      <alignment vertical="top" wrapText="1"/>
    </xf>
    <xf numFmtId="0" fontId="0" fillId="2" borderId="0" xfId="0" applyFill="1" applyAlignment="1">
      <alignment vertical="top" wrapText="1"/>
    </xf>
    <xf numFmtId="0" fontId="0" fillId="3" borderId="0" xfId="0" applyFill="1" applyAlignment="1">
      <alignment vertical="top" wrapText="1"/>
    </xf>
    <xf numFmtId="0" fontId="0" fillId="0" borderId="0" xfId="0" applyAlignment="1">
      <alignment shrinkToFit="1"/>
    </xf>
    <xf numFmtId="0" fontId="0" fillId="4" borderId="0" xfId="0" quotePrefix="1" applyFill="1" applyAlignment="1">
      <alignment shrinkToFit="1"/>
    </xf>
    <xf numFmtId="0" fontId="0" fillId="0" borderId="0" xfId="0" quotePrefix="1" applyAlignment="1">
      <alignment shrinkToFit="1"/>
    </xf>
    <xf numFmtId="3" fontId="7" fillId="4" borderId="0" xfId="0" applyNumberFormat="1" applyFont="1" applyFill="1"/>
    <xf numFmtId="0" fontId="0" fillId="0" borderId="0" xfId="0" quotePrefix="1" applyFill="1" applyAlignment="1">
      <alignment shrinkToFit="1"/>
    </xf>
    <xf numFmtId="2" fontId="8" fillId="0" borderId="1" xfId="0" applyNumberFormat="1" applyFont="1" applyBorder="1" applyAlignment="1">
      <alignment vertical="top" wrapText="1"/>
    </xf>
    <xf numFmtId="2" fontId="9" fillId="0" borderId="0" xfId="0" applyNumberFormat="1" applyFont="1"/>
    <xf numFmtId="1" fontId="8" fillId="0" borderId="1" xfId="0" applyNumberFormat="1" applyFont="1" applyBorder="1" applyAlignment="1">
      <alignment vertical="top" wrapText="1"/>
    </xf>
    <xf numFmtId="1" fontId="13" fillId="0" borderId="0" xfId="0" applyNumberFormat="1" applyFont="1" applyFill="1" applyBorder="1" applyAlignment="1">
      <alignment vertical="top" wrapText="1"/>
    </xf>
    <xf numFmtId="3" fontId="14" fillId="0" borderId="0" xfId="0" applyNumberFormat="1" applyFont="1"/>
    <xf numFmtId="0" fontId="15" fillId="0" borderId="0" xfId="0" applyFont="1"/>
    <xf numFmtId="3" fontId="0" fillId="0" borderId="0" xfId="0" applyNumberFormat="1"/>
    <xf numFmtId="3" fontId="16" fillId="0" borderId="0" xfId="0" applyNumberFormat="1" applyFont="1"/>
    <xf numFmtId="3" fontId="16" fillId="6" borderId="0" xfId="0" applyNumberFormat="1" applyFont="1" applyFill="1"/>
    <xf numFmtId="0" fontId="13" fillId="0" borderId="1" xfId="0" applyFont="1" applyBorder="1" applyAlignment="1">
      <alignment vertical="top" wrapText="1"/>
    </xf>
    <xf numFmtId="2" fontId="0" fillId="6" borderId="0" xfId="0" applyNumberFormat="1" applyFill="1"/>
    <xf numFmtId="3" fontId="5" fillId="0" borderId="1" xfId="0" applyNumberFormat="1" applyFont="1" applyBorder="1" applyAlignment="1">
      <alignment vertical="top" wrapText="1"/>
    </xf>
    <xf numFmtId="0" fontId="0" fillId="0" borderId="0" xfId="0" applyFill="1"/>
    <xf numFmtId="3" fontId="0" fillId="0" borderId="0" xfId="0" applyNumberFormat="1" applyFill="1"/>
    <xf numFmtId="2" fontId="0" fillId="0" borderId="0" xfId="0" applyNumberFormat="1" applyFill="1"/>
    <xf numFmtId="0" fontId="0" fillId="0" borderId="0" xfId="0" applyFill="1" applyAlignment="1">
      <alignment shrinkToFit="1"/>
    </xf>
    <xf numFmtId="14" fontId="0" fillId="0" borderId="0" xfId="0" applyNumberFormat="1" applyFill="1"/>
    <xf numFmtId="1" fontId="0" fillId="0" borderId="0" xfId="0" applyNumberFormat="1" applyFill="1"/>
    <xf numFmtId="10" fontId="0" fillId="0" borderId="0" xfId="0" applyNumberFormat="1" applyFill="1"/>
    <xf numFmtId="0" fontId="0" fillId="0" borderId="0" xfId="0" applyFill="1" applyAlignment="1">
      <alignment horizontal="center"/>
    </xf>
    <xf numFmtId="3" fontId="5" fillId="0" borderId="0" xfId="0" applyNumberFormat="1" applyFont="1" applyFill="1" applyBorder="1" applyAlignment="1">
      <alignment vertical="top" wrapText="1"/>
    </xf>
    <xf numFmtId="0" fontId="5" fillId="0" borderId="1" xfId="0" applyFont="1" applyBorder="1" applyAlignment="1">
      <alignment vertical="top" shrinkToFit="1"/>
    </xf>
    <xf numFmtId="14" fontId="0" fillId="5" borderId="0" xfId="0" applyNumberFormat="1" applyFill="1"/>
    <xf numFmtId="10" fontId="0" fillId="5" borderId="0" xfId="0" applyNumberFormat="1" applyFill="1"/>
    <xf numFmtId="10" fontId="16" fillId="0" borderId="0" xfId="1" applyNumberFormat="1" applyFont="1"/>
    <xf numFmtId="10" fontId="18" fillId="0" borderId="0" xfId="0" applyNumberFormat="1" applyFont="1"/>
    <xf numFmtId="3" fontId="19" fillId="0" borderId="0" xfId="0" applyNumberFormat="1" applyFont="1"/>
    <xf numFmtId="14" fontId="15" fillId="0" borderId="0" xfId="0" applyNumberFormat="1" applyFont="1"/>
    <xf numFmtId="3" fontId="5" fillId="0" borderId="1" xfId="0" applyNumberFormat="1" applyFont="1" applyFill="1" applyBorder="1" applyAlignment="1">
      <alignment vertical="top" wrapText="1"/>
    </xf>
    <xf numFmtId="3" fontId="15" fillId="0" borderId="0" xfId="0" applyNumberFormat="1" applyFont="1"/>
    <xf numFmtId="0" fontId="0" fillId="0" borderId="0" xfId="0" applyAlignment="1">
      <alignment horizontal="right"/>
    </xf>
    <xf numFmtId="0" fontId="0" fillId="7" borderId="0" xfId="0" applyFill="1"/>
    <xf numFmtId="0" fontId="20" fillId="0" borderId="0" xfId="0" applyFont="1" applyAlignment="1">
      <alignment horizontal="right"/>
    </xf>
    <xf numFmtId="1" fontId="21" fillId="0" borderId="0" xfId="0" applyNumberFormat="1" applyFont="1" applyBorder="1" applyAlignment="1">
      <alignment vertical="top" wrapText="1"/>
    </xf>
    <xf numFmtId="3" fontId="22" fillId="0" borderId="0" xfId="0" applyNumberFormat="1" applyFont="1"/>
    <xf numFmtId="0" fontId="17" fillId="0" borderId="0" xfId="0" applyFont="1"/>
    <xf numFmtId="14" fontId="11" fillId="0" borderId="0" xfId="0" applyNumberFormat="1" applyFont="1"/>
    <xf numFmtId="14" fontId="23" fillId="0" borderId="0" xfId="0" applyNumberFormat="1" applyFont="1"/>
    <xf numFmtId="3" fontId="7" fillId="0" borderId="0" xfId="0" applyNumberFormat="1" applyFont="1" applyFill="1"/>
    <xf numFmtId="0" fontId="5" fillId="8" borderId="1" xfId="0" applyFont="1" applyFill="1" applyBorder="1" applyAlignment="1">
      <alignment vertical="top" wrapText="1"/>
    </xf>
    <xf numFmtId="3" fontId="24" fillId="0" borderId="0" xfId="0" applyNumberFormat="1" applyFont="1"/>
    <xf numFmtId="3" fontId="13" fillId="0" borderId="0" xfId="0" applyNumberFormat="1" applyFont="1" applyFill="1" applyBorder="1" applyAlignment="1">
      <alignment vertical="top" wrapText="1"/>
    </xf>
    <xf numFmtId="0" fontId="0" fillId="0" borderId="0" xfId="0" pivotButton="1"/>
    <xf numFmtId="0" fontId="0" fillId="0" borderId="0" xfId="0" applyAlignment="1">
      <alignment horizontal="left"/>
    </xf>
    <xf numFmtId="1" fontId="25" fillId="0" borderId="0" xfId="0" applyNumberFormat="1" applyFont="1" applyBorder="1" applyAlignment="1">
      <alignment vertical="top" wrapText="1"/>
    </xf>
    <xf numFmtId="0" fontId="26" fillId="0" borderId="0" xfId="0" applyFont="1"/>
    <xf numFmtId="0" fontId="0" fillId="0" borderId="0" xfId="0" applyAlignment="1">
      <alignment horizontal="right" wrapText="1"/>
    </xf>
    <xf numFmtId="0" fontId="0" fillId="0" borderId="0" xfId="0" applyAlignment="1">
      <alignment vertical="center" wrapText="1"/>
    </xf>
    <xf numFmtId="0" fontId="0" fillId="0" borderId="0" xfId="0" applyAlignment="1">
      <alignment horizontal="right" vertical="center" wrapText="1"/>
    </xf>
    <xf numFmtId="10" fontId="11" fillId="0" borderId="0" xfId="0" applyNumberFormat="1" applyFont="1"/>
    <xf numFmtId="10" fontId="11" fillId="0" borderId="0" xfId="1" applyNumberFormat="1" applyFont="1"/>
    <xf numFmtId="0" fontId="16" fillId="0" borderId="0" xfId="0" applyFont="1"/>
    <xf numFmtId="0" fontId="16" fillId="0" borderId="0" xfId="0" pivotButton="1" applyFont="1"/>
    <xf numFmtId="0" fontId="16" fillId="0" borderId="0" xfId="0" applyFont="1" applyAlignment="1">
      <alignment horizontal="left"/>
    </xf>
    <xf numFmtId="0" fontId="16" fillId="0" borderId="0" xfId="0" applyFont="1" applyAlignment="1">
      <alignment horizontal="left" indent="1"/>
    </xf>
    <xf numFmtId="1" fontId="6" fillId="0" borderId="1" xfId="0" applyNumberFormat="1" applyFont="1" applyBorder="1" applyAlignment="1">
      <alignment vertical="top" wrapText="1"/>
    </xf>
    <xf numFmtId="0" fontId="28" fillId="0" borderId="0" xfId="0" applyFont="1"/>
    <xf numFmtId="14" fontId="17" fillId="0" borderId="0" xfId="0" applyNumberFormat="1" applyFont="1"/>
    <xf numFmtId="3" fontId="0" fillId="0" borderId="2" xfId="0" applyNumberFormat="1" applyFont="1" applyBorder="1"/>
    <xf numFmtId="3" fontId="17" fillId="0" borderId="3" xfId="0" applyNumberFormat="1" applyFont="1" applyBorder="1"/>
    <xf numFmtId="3" fontId="31" fillId="0" borderId="0" xfId="1639" applyNumberFormat="1" applyFont="1"/>
    <xf numFmtId="3" fontId="22" fillId="0" borderId="0" xfId="0" applyNumberFormat="1" applyFont="1" applyFill="1"/>
    <xf numFmtId="0" fontId="29" fillId="0" borderId="0" xfId="0" quotePrefix="1" applyFont="1"/>
    <xf numFmtId="14" fontId="29" fillId="0" borderId="0" xfId="0" applyNumberFormat="1" applyFont="1"/>
    <xf numFmtId="2" fontId="29" fillId="0" borderId="0" xfId="0" applyNumberFormat="1" applyFont="1"/>
    <xf numFmtId="10" fontId="29" fillId="0" borderId="0" xfId="0" applyNumberFormat="1" applyFont="1"/>
    <xf numFmtId="0" fontId="32" fillId="0" borderId="0" xfId="0" applyFont="1" applyBorder="1" applyAlignment="1">
      <alignment vertical="top" wrapText="1"/>
    </xf>
    <xf numFmtId="2" fontId="32" fillId="0" borderId="0" xfId="0" applyNumberFormat="1" applyFont="1" applyBorder="1" applyAlignment="1">
      <alignment vertical="top" wrapText="1"/>
    </xf>
    <xf numFmtId="1" fontId="32" fillId="0" borderId="0" xfId="0" applyNumberFormat="1" applyFont="1" applyBorder="1" applyAlignment="1">
      <alignment vertical="top" wrapText="1"/>
    </xf>
    <xf numFmtId="1" fontId="33" fillId="0" borderId="0" xfId="0" applyNumberFormat="1" applyFont="1" applyBorder="1" applyAlignment="1">
      <alignment vertical="top" wrapText="1"/>
    </xf>
    <xf numFmtId="1" fontId="34" fillId="0" borderId="0" xfId="0" applyNumberFormat="1" applyFont="1" applyBorder="1" applyAlignment="1">
      <alignment vertical="top" wrapText="1"/>
    </xf>
    <xf numFmtId="1" fontId="35" fillId="0" borderId="0" xfId="0" applyNumberFormat="1" applyFont="1" applyBorder="1" applyAlignment="1">
      <alignment vertical="top" wrapText="1"/>
    </xf>
    <xf numFmtId="1" fontId="32" fillId="0" borderId="0" xfId="0" applyNumberFormat="1" applyFont="1" applyFill="1" applyBorder="1" applyAlignment="1">
      <alignment vertical="top" wrapText="1"/>
    </xf>
    <xf numFmtId="0" fontId="32" fillId="0" borderId="0" xfId="0" applyFont="1" applyBorder="1" applyAlignment="1">
      <alignment vertical="top"/>
    </xf>
    <xf numFmtId="0" fontId="33" fillId="0" borderId="0" xfId="0" applyFont="1" applyBorder="1" applyAlignment="1">
      <alignment vertical="top" shrinkToFit="1"/>
    </xf>
    <xf numFmtId="1" fontId="13" fillId="0" borderId="0" xfId="0" applyNumberFormat="1" applyFont="1" applyBorder="1" applyAlignment="1">
      <alignment vertical="top" wrapText="1"/>
    </xf>
    <xf numFmtId="3" fontId="33" fillId="0" borderId="0" xfId="0" applyNumberFormat="1" applyFont="1" applyBorder="1" applyAlignment="1">
      <alignment vertical="top" wrapText="1"/>
    </xf>
    <xf numFmtId="3" fontId="36" fillId="0" borderId="0" xfId="0" applyNumberFormat="1" applyFont="1" applyBorder="1" applyAlignment="1">
      <alignment vertical="top" wrapText="1"/>
    </xf>
    <xf numFmtId="164" fontId="0" fillId="0" borderId="0" xfId="0" applyNumberFormat="1"/>
    <xf numFmtId="3" fontId="17" fillId="0" borderId="0" xfId="0" applyNumberFormat="1" applyFont="1" applyBorder="1"/>
    <xf numFmtId="165" fontId="0" fillId="0" borderId="2" xfId="0" applyNumberFormat="1" applyFont="1" applyBorder="1"/>
    <xf numFmtId="3" fontId="11" fillId="0" borderId="0" xfId="0" applyNumberFormat="1" applyFont="1"/>
    <xf numFmtId="0" fontId="0" fillId="0" borderId="0" xfId="0" applyAlignment="1">
      <alignment wrapText="1"/>
    </xf>
    <xf numFmtId="0" fontId="17" fillId="0" borderId="0" xfId="0" applyFont="1" applyAlignment="1">
      <alignment vertical="top"/>
    </xf>
    <xf numFmtId="0" fontId="11" fillId="0" borderId="0" xfId="0" applyFont="1" applyAlignment="1">
      <alignment horizontal="right" vertical="top"/>
    </xf>
    <xf numFmtId="0" fontId="16" fillId="9" borderId="0" xfId="0" applyFont="1" applyFill="1" applyAlignment="1">
      <alignment horizontal="center"/>
    </xf>
    <xf numFmtId="0" fontId="37" fillId="0" borderId="0" xfId="0" applyFont="1" applyAlignment="1">
      <alignment wrapText="1"/>
    </xf>
    <xf numFmtId="0" fontId="38" fillId="0" borderId="0" xfId="0" applyFont="1" applyAlignment="1">
      <alignment wrapText="1"/>
    </xf>
    <xf numFmtId="0" fontId="39" fillId="0" borderId="0" xfId="0" applyFont="1" applyAlignment="1">
      <alignment wrapText="1"/>
    </xf>
    <xf numFmtId="0" fontId="40" fillId="0" borderId="0" xfId="0" applyFont="1" applyAlignment="1">
      <alignment wrapText="1"/>
    </xf>
    <xf numFmtId="0" fontId="41" fillId="0" borderId="0" xfId="0" applyFont="1" applyAlignment="1">
      <alignment wrapText="1"/>
    </xf>
    <xf numFmtId="0" fontId="42" fillId="0" borderId="0" xfId="0" applyFont="1" applyAlignment="1">
      <alignment wrapText="1"/>
    </xf>
    <xf numFmtId="0" fontId="43" fillId="0" borderId="0" xfId="0" applyFont="1" applyAlignment="1">
      <alignment wrapText="1"/>
    </xf>
    <xf numFmtId="0" fontId="45" fillId="0" borderId="0" xfId="0" applyFont="1" applyAlignment="1">
      <alignment wrapText="1"/>
    </xf>
    <xf numFmtId="0" fontId="46" fillId="0" borderId="0" xfId="0" applyFont="1" applyAlignment="1">
      <alignment wrapText="1"/>
    </xf>
    <xf numFmtId="0" fontId="50" fillId="0" borderId="0" xfId="0" applyFont="1" applyAlignment="1">
      <alignment wrapText="1"/>
    </xf>
  </cellXfs>
  <cellStyles count="1911">
    <cellStyle name="Lien hypertexte" xfId="2" builtinId="8" hidden="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cellStyle name="Lien hypertexte visité" xfId="3" builtinId="9"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Lien hypertexte visité" xfId="90" builtinId="9" hidden="1"/>
    <cellStyle name="Lien hypertexte visité" xfId="91" builtinId="9" hidden="1"/>
    <cellStyle name="Lien hypertexte visité" xfId="92" builtinId="9" hidden="1"/>
    <cellStyle name="Lien hypertexte visité" xfId="93" builtinId="9" hidden="1"/>
    <cellStyle name="Lien hypertexte visité" xfId="94" builtinId="9" hidden="1"/>
    <cellStyle name="Lien hypertexte visité" xfId="95" builtinId="9" hidden="1"/>
    <cellStyle name="Lien hypertexte visité" xfId="96" builtinId="9" hidden="1"/>
    <cellStyle name="Lien hypertexte visité" xfId="97" builtinId="9" hidden="1"/>
    <cellStyle name="Lien hypertexte visité" xfId="98" builtinId="9" hidden="1"/>
    <cellStyle name="Lien hypertexte visité" xfId="99" builtinId="9" hidden="1"/>
    <cellStyle name="Lien hypertexte visité" xfId="100" builtinId="9" hidden="1"/>
    <cellStyle name="Lien hypertexte visité" xfId="101" builtinId="9" hidden="1"/>
    <cellStyle name="Lien hypertexte visité" xfId="102" builtinId="9" hidden="1"/>
    <cellStyle name="Lien hypertexte visité" xfId="103" builtinId="9" hidden="1"/>
    <cellStyle name="Lien hypertexte visité" xfId="104" builtinId="9" hidden="1"/>
    <cellStyle name="Lien hypertexte visité" xfId="105" builtinId="9" hidden="1"/>
    <cellStyle name="Lien hypertexte visité" xfId="106" builtinId="9" hidden="1"/>
    <cellStyle name="Lien hypertexte visité" xfId="107" builtinId="9" hidden="1"/>
    <cellStyle name="Lien hypertexte visité" xfId="108" builtinId="9" hidden="1"/>
    <cellStyle name="Lien hypertexte visité" xfId="109" builtinId="9" hidden="1"/>
    <cellStyle name="Lien hypertexte visité" xfId="110" builtinId="9" hidden="1"/>
    <cellStyle name="Lien hypertexte visité" xfId="111" builtinId="9" hidden="1"/>
    <cellStyle name="Lien hypertexte visité" xfId="112" builtinId="9" hidden="1"/>
    <cellStyle name="Lien hypertexte visité" xfId="113" builtinId="9" hidden="1"/>
    <cellStyle name="Lien hypertexte visité" xfId="114" builtinId="9" hidden="1"/>
    <cellStyle name="Lien hypertexte visité" xfId="115" builtinId="9" hidden="1"/>
    <cellStyle name="Lien hypertexte visité" xfId="116" builtinId="9" hidden="1"/>
    <cellStyle name="Lien hypertexte visité" xfId="117" builtinId="9" hidden="1"/>
    <cellStyle name="Lien hypertexte visité" xfId="118" builtinId="9" hidden="1"/>
    <cellStyle name="Lien hypertexte visité" xfId="119" builtinId="9" hidden="1"/>
    <cellStyle name="Lien hypertexte visité" xfId="120" builtinId="9" hidden="1"/>
    <cellStyle name="Lien hypertexte visité" xfId="121" builtinId="9" hidden="1"/>
    <cellStyle name="Lien hypertexte visité" xfId="122" builtinId="9" hidden="1"/>
    <cellStyle name="Lien hypertexte visité" xfId="123" builtinId="9" hidden="1"/>
    <cellStyle name="Lien hypertexte visité" xfId="124" builtinId="9" hidden="1"/>
    <cellStyle name="Lien hypertexte visité" xfId="125" builtinId="9" hidden="1"/>
    <cellStyle name="Lien hypertexte visité" xfId="126" builtinId="9" hidden="1"/>
    <cellStyle name="Lien hypertexte visité" xfId="127" builtinId="9" hidden="1"/>
    <cellStyle name="Lien hypertexte visité" xfId="128" builtinId="9" hidden="1"/>
    <cellStyle name="Lien hypertexte visité" xfId="129" builtinId="9" hidden="1"/>
    <cellStyle name="Lien hypertexte visité" xfId="130" builtinId="9" hidden="1"/>
    <cellStyle name="Lien hypertexte visité" xfId="131" builtinId="9" hidden="1"/>
    <cellStyle name="Lien hypertexte visité" xfId="132" builtinId="9" hidden="1"/>
    <cellStyle name="Lien hypertexte visité" xfId="133" builtinId="9" hidden="1"/>
    <cellStyle name="Lien hypertexte visité" xfId="134" builtinId="9" hidden="1"/>
    <cellStyle name="Lien hypertexte visité" xfId="135" builtinId="9" hidden="1"/>
    <cellStyle name="Lien hypertexte visité" xfId="136" builtinId="9" hidden="1"/>
    <cellStyle name="Lien hypertexte visité" xfId="137" builtinId="9" hidden="1"/>
    <cellStyle name="Lien hypertexte visité" xfId="138" builtinId="9" hidden="1"/>
    <cellStyle name="Lien hypertexte visité" xfId="139" builtinId="9" hidden="1"/>
    <cellStyle name="Lien hypertexte visité" xfId="140" builtinId="9" hidden="1"/>
    <cellStyle name="Lien hypertexte visité" xfId="141" builtinId="9" hidden="1"/>
    <cellStyle name="Lien hypertexte visité" xfId="142" builtinId="9" hidden="1"/>
    <cellStyle name="Lien hypertexte visité" xfId="143" builtinId="9" hidden="1"/>
    <cellStyle name="Lien hypertexte visité" xfId="144" builtinId="9" hidden="1"/>
    <cellStyle name="Lien hypertexte visité" xfId="145" builtinId="9" hidden="1"/>
    <cellStyle name="Lien hypertexte visité" xfId="146" builtinId="9" hidden="1"/>
    <cellStyle name="Lien hypertexte visité" xfId="147" builtinId="9" hidden="1"/>
    <cellStyle name="Lien hypertexte visité" xfId="148" builtinId="9" hidden="1"/>
    <cellStyle name="Lien hypertexte visité" xfId="149" builtinId="9" hidden="1"/>
    <cellStyle name="Lien hypertexte visité" xfId="150" builtinId="9" hidden="1"/>
    <cellStyle name="Lien hypertexte visité" xfId="151" builtinId="9" hidden="1"/>
    <cellStyle name="Lien hypertexte visité" xfId="152" builtinId="9" hidden="1"/>
    <cellStyle name="Lien hypertexte visité" xfId="153" builtinId="9" hidden="1"/>
    <cellStyle name="Lien hypertexte visité" xfId="154" builtinId="9" hidden="1"/>
    <cellStyle name="Lien hypertexte visité" xfId="155" builtinId="9" hidden="1"/>
    <cellStyle name="Lien hypertexte visité" xfId="156" builtinId="9" hidden="1"/>
    <cellStyle name="Lien hypertexte visité" xfId="157" builtinId="9" hidden="1"/>
    <cellStyle name="Lien hypertexte visité" xfId="158" builtinId="9" hidden="1"/>
    <cellStyle name="Lien hypertexte visité" xfId="159" builtinId="9" hidden="1"/>
    <cellStyle name="Lien hypertexte visité" xfId="160" builtinId="9" hidden="1"/>
    <cellStyle name="Lien hypertexte visité" xfId="161" builtinId="9" hidden="1"/>
    <cellStyle name="Lien hypertexte visité" xfId="162" builtinId="9" hidden="1"/>
    <cellStyle name="Lien hypertexte visité" xfId="163" builtinId="9" hidden="1"/>
    <cellStyle name="Lien hypertexte visité" xfId="164" builtinId="9" hidden="1"/>
    <cellStyle name="Lien hypertexte visité" xfId="165" builtinId="9" hidden="1"/>
    <cellStyle name="Lien hypertexte visité" xfId="166" builtinId="9" hidden="1"/>
    <cellStyle name="Lien hypertexte visité" xfId="167" builtinId="9" hidden="1"/>
    <cellStyle name="Lien hypertexte visité" xfId="168" builtinId="9" hidden="1"/>
    <cellStyle name="Lien hypertexte visité" xfId="169" builtinId="9" hidden="1"/>
    <cellStyle name="Lien hypertexte visité" xfId="170" builtinId="9" hidden="1"/>
    <cellStyle name="Lien hypertexte visité" xfId="171" builtinId="9" hidden="1"/>
    <cellStyle name="Lien hypertexte visité" xfId="172" builtinId="9" hidden="1"/>
    <cellStyle name="Lien hypertexte visité" xfId="173" builtinId="9" hidden="1"/>
    <cellStyle name="Lien hypertexte visité" xfId="174" builtinId="9" hidden="1"/>
    <cellStyle name="Lien hypertexte visité" xfId="175" builtinId="9" hidden="1"/>
    <cellStyle name="Lien hypertexte visité" xfId="176" builtinId="9" hidden="1"/>
    <cellStyle name="Lien hypertexte visité" xfId="177" builtinId="9" hidden="1"/>
    <cellStyle name="Lien hypertexte visité" xfId="178" builtinId="9" hidden="1"/>
    <cellStyle name="Lien hypertexte visité" xfId="179" builtinId="9" hidden="1"/>
    <cellStyle name="Lien hypertexte visité" xfId="180" builtinId="9" hidden="1"/>
    <cellStyle name="Lien hypertexte visité" xfId="181" builtinId="9" hidden="1"/>
    <cellStyle name="Lien hypertexte visité" xfId="182" builtinId="9" hidden="1"/>
    <cellStyle name="Lien hypertexte visité" xfId="183" builtinId="9" hidden="1"/>
    <cellStyle name="Lien hypertexte visité" xfId="184" builtinId="9" hidden="1"/>
    <cellStyle name="Lien hypertexte visité" xfId="185" builtinId="9" hidden="1"/>
    <cellStyle name="Lien hypertexte visité" xfId="186" builtinId="9" hidden="1"/>
    <cellStyle name="Lien hypertexte visité" xfId="187" builtinId="9" hidden="1"/>
    <cellStyle name="Lien hypertexte visité" xfId="188" builtinId="9" hidden="1"/>
    <cellStyle name="Lien hypertexte visité" xfId="189" builtinId="9" hidden="1"/>
    <cellStyle name="Lien hypertexte visité" xfId="190" builtinId="9" hidden="1"/>
    <cellStyle name="Lien hypertexte visité" xfId="191" builtinId="9" hidden="1"/>
    <cellStyle name="Lien hypertexte visité" xfId="192" builtinId="9" hidden="1"/>
    <cellStyle name="Lien hypertexte visité" xfId="193" builtinId="9" hidden="1"/>
    <cellStyle name="Lien hypertexte visité" xfId="194" builtinId="9" hidden="1"/>
    <cellStyle name="Lien hypertexte visité" xfId="195" builtinId="9" hidden="1"/>
    <cellStyle name="Lien hypertexte visité" xfId="196" builtinId="9" hidden="1"/>
    <cellStyle name="Lien hypertexte visité" xfId="197" builtinId="9" hidden="1"/>
    <cellStyle name="Lien hypertexte visité" xfId="198" builtinId="9" hidden="1"/>
    <cellStyle name="Lien hypertexte visité" xfId="199" builtinId="9" hidden="1"/>
    <cellStyle name="Lien hypertexte visité" xfId="200" builtinId="9" hidden="1"/>
    <cellStyle name="Lien hypertexte visité" xfId="201" builtinId="9" hidden="1"/>
    <cellStyle name="Lien hypertexte visité" xfId="202" builtinId="9" hidden="1"/>
    <cellStyle name="Lien hypertexte visité" xfId="203" builtinId="9" hidden="1"/>
    <cellStyle name="Lien hypertexte visité" xfId="204" builtinId="9" hidden="1"/>
    <cellStyle name="Lien hypertexte visité" xfId="205" builtinId="9" hidden="1"/>
    <cellStyle name="Lien hypertexte visité" xfId="206" builtinId="9" hidden="1"/>
    <cellStyle name="Lien hypertexte visité" xfId="207" builtinId="9" hidden="1"/>
    <cellStyle name="Lien hypertexte visité" xfId="208" builtinId="9" hidden="1"/>
    <cellStyle name="Lien hypertexte visité" xfId="209" builtinId="9" hidden="1"/>
    <cellStyle name="Lien hypertexte visité" xfId="210" builtinId="9" hidden="1"/>
    <cellStyle name="Lien hypertexte visité" xfId="211" builtinId="9" hidden="1"/>
    <cellStyle name="Lien hypertexte visité" xfId="212" builtinId="9" hidden="1"/>
    <cellStyle name="Lien hypertexte visité" xfId="213" builtinId="9" hidden="1"/>
    <cellStyle name="Lien hypertexte visité" xfId="214" builtinId="9" hidden="1"/>
    <cellStyle name="Lien hypertexte visité" xfId="215" builtinId="9" hidden="1"/>
    <cellStyle name="Lien hypertexte visité" xfId="216" builtinId="9" hidden="1"/>
    <cellStyle name="Lien hypertexte visité" xfId="217" builtinId="9" hidden="1"/>
    <cellStyle name="Lien hypertexte visité" xfId="218" builtinId="9" hidden="1"/>
    <cellStyle name="Lien hypertexte visité" xfId="219" builtinId="9" hidden="1"/>
    <cellStyle name="Lien hypertexte visité" xfId="220" builtinId="9" hidden="1"/>
    <cellStyle name="Lien hypertexte visité" xfId="221" builtinId="9" hidden="1"/>
    <cellStyle name="Lien hypertexte visité" xfId="222" builtinId="9" hidden="1"/>
    <cellStyle name="Lien hypertexte visité" xfId="223" builtinId="9" hidden="1"/>
    <cellStyle name="Lien hypertexte visité" xfId="224" builtinId="9" hidden="1"/>
    <cellStyle name="Lien hypertexte visité" xfId="225" builtinId="9" hidden="1"/>
    <cellStyle name="Lien hypertexte visité" xfId="226" builtinId="9" hidden="1"/>
    <cellStyle name="Lien hypertexte visité" xfId="227" builtinId="9" hidden="1"/>
    <cellStyle name="Lien hypertexte visité" xfId="228" builtinId="9" hidden="1"/>
    <cellStyle name="Lien hypertexte visité" xfId="229" builtinId="9" hidden="1"/>
    <cellStyle name="Lien hypertexte visité" xfId="230" builtinId="9" hidden="1"/>
    <cellStyle name="Lien hypertexte visité" xfId="231" builtinId="9" hidden="1"/>
    <cellStyle name="Lien hypertexte visité" xfId="232" builtinId="9" hidden="1"/>
    <cellStyle name="Lien hypertexte visité" xfId="233" builtinId="9" hidden="1"/>
    <cellStyle name="Lien hypertexte visité" xfId="234" builtinId="9" hidden="1"/>
    <cellStyle name="Lien hypertexte visité" xfId="235" builtinId="9" hidden="1"/>
    <cellStyle name="Lien hypertexte visité" xfId="236" builtinId="9" hidden="1"/>
    <cellStyle name="Lien hypertexte visité" xfId="237" builtinId="9" hidden="1"/>
    <cellStyle name="Lien hypertexte visité" xfId="238" builtinId="9" hidden="1"/>
    <cellStyle name="Lien hypertexte visité" xfId="239" builtinId="9" hidden="1"/>
    <cellStyle name="Lien hypertexte visité" xfId="240" builtinId="9" hidden="1"/>
    <cellStyle name="Lien hypertexte visité" xfId="241" builtinId="9" hidden="1"/>
    <cellStyle name="Lien hypertexte visité" xfId="242" builtinId="9" hidden="1"/>
    <cellStyle name="Lien hypertexte visité" xfId="243" builtinId="9" hidden="1"/>
    <cellStyle name="Lien hypertexte visité" xfId="244" builtinId="9" hidden="1"/>
    <cellStyle name="Lien hypertexte visité" xfId="245" builtinId="9" hidden="1"/>
    <cellStyle name="Lien hypertexte visité" xfId="246" builtinId="9" hidden="1"/>
    <cellStyle name="Lien hypertexte visité" xfId="247" builtinId="9" hidden="1"/>
    <cellStyle name="Lien hypertexte visité" xfId="248" builtinId="9" hidden="1"/>
    <cellStyle name="Lien hypertexte visité" xfId="249" builtinId="9" hidden="1"/>
    <cellStyle name="Lien hypertexte visité" xfId="250" builtinId="9" hidden="1"/>
    <cellStyle name="Lien hypertexte visité" xfId="251" builtinId="9" hidden="1"/>
    <cellStyle name="Lien hypertexte visité" xfId="252" builtinId="9" hidden="1"/>
    <cellStyle name="Lien hypertexte visité" xfId="253" builtinId="9" hidden="1"/>
    <cellStyle name="Lien hypertexte visité" xfId="254" builtinId="9" hidden="1"/>
    <cellStyle name="Lien hypertexte visité" xfId="255" builtinId="9" hidden="1"/>
    <cellStyle name="Lien hypertexte visité" xfId="256" builtinId="9" hidden="1"/>
    <cellStyle name="Lien hypertexte visité" xfId="257" builtinId="9" hidden="1"/>
    <cellStyle name="Lien hypertexte visité" xfId="258" builtinId="9" hidden="1"/>
    <cellStyle name="Lien hypertexte visité" xfId="259" builtinId="9" hidden="1"/>
    <cellStyle name="Lien hypertexte visité" xfId="260" builtinId="9" hidden="1"/>
    <cellStyle name="Lien hypertexte visité" xfId="261" builtinId="9" hidden="1"/>
    <cellStyle name="Lien hypertexte visité" xfId="262" builtinId="9" hidden="1"/>
    <cellStyle name="Lien hypertexte visité" xfId="263" builtinId="9" hidden="1"/>
    <cellStyle name="Lien hypertexte visité" xfId="264" builtinId="9" hidden="1"/>
    <cellStyle name="Lien hypertexte visité" xfId="265" builtinId="9" hidden="1"/>
    <cellStyle name="Lien hypertexte visité" xfId="266" builtinId="9" hidden="1"/>
    <cellStyle name="Lien hypertexte visité" xfId="267" builtinId="9" hidden="1"/>
    <cellStyle name="Lien hypertexte visité" xfId="268" builtinId="9" hidden="1"/>
    <cellStyle name="Lien hypertexte visité" xfId="269" builtinId="9" hidden="1"/>
    <cellStyle name="Lien hypertexte visité" xfId="270" builtinId="9" hidden="1"/>
    <cellStyle name="Lien hypertexte visité" xfId="271" builtinId="9" hidden="1"/>
    <cellStyle name="Lien hypertexte visité" xfId="272" builtinId="9" hidden="1"/>
    <cellStyle name="Lien hypertexte visité" xfId="273" builtinId="9" hidden="1"/>
    <cellStyle name="Lien hypertexte visité" xfId="274" builtinId="9" hidden="1"/>
    <cellStyle name="Lien hypertexte visité" xfId="275" builtinId="9" hidden="1"/>
    <cellStyle name="Lien hypertexte visité" xfId="276" builtinId="9" hidden="1"/>
    <cellStyle name="Lien hypertexte visité" xfId="277" builtinId="9" hidden="1"/>
    <cellStyle name="Lien hypertexte visité" xfId="278" builtinId="9" hidden="1"/>
    <cellStyle name="Lien hypertexte visité" xfId="279" builtinId="9" hidden="1"/>
    <cellStyle name="Lien hypertexte visité" xfId="280" builtinId="9" hidden="1"/>
    <cellStyle name="Lien hypertexte visité" xfId="281" builtinId="9" hidden="1"/>
    <cellStyle name="Lien hypertexte visité" xfId="282" builtinId="9" hidden="1"/>
    <cellStyle name="Lien hypertexte visité" xfId="283" builtinId="9" hidden="1"/>
    <cellStyle name="Lien hypertexte visité" xfId="284" builtinId="9" hidden="1"/>
    <cellStyle name="Lien hypertexte visité" xfId="285" builtinId="9" hidden="1"/>
    <cellStyle name="Lien hypertexte visité" xfId="286" builtinId="9" hidden="1"/>
    <cellStyle name="Lien hypertexte visité" xfId="287" builtinId="9" hidden="1"/>
    <cellStyle name="Lien hypertexte visité" xfId="288" builtinId="9" hidden="1"/>
    <cellStyle name="Lien hypertexte visité" xfId="289" builtinId="9" hidden="1"/>
    <cellStyle name="Lien hypertexte visité" xfId="290" builtinId="9" hidden="1"/>
    <cellStyle name="Lien hypertexte visité" xfId="291" builtinId="9" hidden="1"/>
    <cellStyle name="Lien hypertexte visité" xfId="292" builtinId="9" hidden="1"/>
    <cellStyle name="Lien hypertexte visité" xfId="293" builtinId="9" hidden="1"/>
    <cellStyle name="Lien hypertexte visité" xfId="294" builtinId="9" hidden="1"/>
    <cellStyle name="Lien hypertexte visité" xfId="295" builtinId="9" hidden="1"/>
    <cellStyle name="Lien hypertexte visité" xfId="296" builtinId="9" hidden="1"/>
    <cellStyle name="Lien hypertexte visité" xfId="297" builtinId="9" hidden="1"/>
    <cellStyle name="Lien hypertexte visité" xfId="298" builtinId="9" hidden="1"/>
    <cellStyle name="Lien hypertexte visité" xfId="299" builtinId="9" hidden="1"/>
    <cellStyle name="Lien hypertexte visité" xfId="300" builtinId="9" hidden="1"/>
    <cellStyle name="Lien hypertexte visité" xfId="301" builtinId="9" hidden="1"/>
    <cellStyle name="Lien hypertexte visité" xfId="302" builtinId="9" hidden="1"/>
    <cellStyle name="Lien hypertexte visité" xfId="303" builtinId="9" hidden="1"/>
    <cellStyle name="Lien hypertexte visité" xfId="304" builtinId="9" hidden="1"/>
    <cellStyle name="Lien hypertexte visité" xfId="305" builtinId="9" hidden="1"/>
    <cellStyle name="Lien hypertexte visité" xfId="306" builtinId="9" hidden="1"/>
    <cellStyle name="Lien hypertexte visité" xfId="307" builtinId="9" hidden="1"/>
    <cellStyle name="Lien hypertexte visité" xfId="308" builtinId="9" hidden="1"/>
    <cellStyle name="Lien hypertexte visité" xfId="309" builtinId="9" hidden="1"/>
    <cellStyle name="Lien hypertexte visité" xfId="310" builtinId="9" hidden="1"/>
    <cellStyle name="Lien hypertexte visité" xfId="311" builtinId="9" hidden="1"/>
    <cellStyle name="Lien hypertexte visité" xfId="312" builtinId="9" hidden="1"/>
    <cellStyle name="Lien hypertexte visité" xfId="313" builtinId="9" hidden="1"/>
    <cellStyle name="Lien hypertexte visité" xfId="314" builtinId="9" hidden="1"/>
    <cellStyle name="Lien hypertexte visité" xfId="315" builtinId="9" hidden="1"/>
    <cellStyle name="Lien hypertexte visité" xfId="316" builtinId="9" hidden="1"/>
    <cellStyle name="Lien hypertexte visité" xfId="317" builtinId="9" hidden="1"/>
    <cellStyle name="Lien hypertexte visité" xfId="318" builtinId="9" hidden="1"/>
    <cellStyle name="Lien hypertexte visité" xfId="319" builtinId="9" hidden="1"/>
    <cellStyle name="Lien hypertexte visité" xfId="320" builtinId="9" hidden="1"/>
    <cellStyle name="Lien hypertexte visité" xfId="321" builtinId="9" hidden="1"/>
    <cellStyle name="Lien hypertexte visité" xfId="322" builtinId="9" hidden="1"/>
    <cellStyle name="Lien hypertexte visité" xfId="323" builtinId="9" hidden="1"/>
    <cellStyle name="Lien hypertexte visité" xfId="324" builtinId="9" hidden="1"/>
    <cellStyle name="Lien hypertexte visité" xfId="325" builtinId="9" hidden="1"/>
    <cellStyle name="Lien hypertexte visité" xfId="326" builtinId="9" hidden="1"/>
    <cellStyle name="Lien hypertexte visité" xfId="327" builtinId="9" hidden="1"/>
    <cellStyle name="Lien hypertexte visité" xfId="328" builtinId="9" hidden="1"/>
    <cellStyle name="Lien hypertexte visité" xfId="329" builtinId="9" hidden="1"/>
    <cellStyle name="Lien hypertexte visité" xfId="330" builtinId="9" hidden="1"/>
    <cellStyle name="Lien hypertexte visité" xfId="331" builtinId="9" hidden="1"/>
    <cellStyle name="Lien hypertexte visité" xfId="332" builtinId="9" hidden="1"/>
    <cellStyle name="Lien hypertexte visité" xfId="333" builtinId="9" hidden="1"/>
    <cellStyle name="Lien hypertexte visité" xfId="334" builtinId="9" hidden="1"/>
    <cellStyle name="Lien hypertexte visité" xfId="335" builtinId="9" hidden="1"/>
    <cellStyle name="Lien hypertexte visité" xfId="336" builtinId="9" hidden="1"/>
    <cellStyle name="Lien hypertexte visité" xfId="337" builtinId="9" hidden="1"/>
    <cellStyle name="Lien hypertexte visité" xfId="338" builtinId="9" hidden="1"/>
    <cellStyle name="Lien hypertexte visité" xfId="339" builtinId="9" hidden="1"/>
    <cellStyle name="Lien hypertexte visité" xfId="340" builtinId="9" hidden="1"/>
    <cellStyle name="Lien hypertexte visité" xfId="341" builtinId="9" hidden="1"/>
    <cellStyle name="Lien hypertexte visité" xfId="342" builtinId="9" hidden="1"/>
    <cellStyle name="Lien hypertexte visité" xfId="343" builtinId="9" hidden="1"/>
    <cellStyle name="Lien hypertexte visité" xfId="344" builtinId="9" hidden="1"/>
    <cellStyle name="Lien hypertexte visité" xfId="345" builtinId="9" hidden="1"/>
    <cellStyle name="Lien hypertexte visité" xfId="346" builtinId="9" hidden="1"/>
    <cellStyle name="Lien hypertexte visité" xfId="347" builtinId="9" hidden="1"/>
    <cellStyle name="Lien hypertexte visité" xfId="348" builtinId="9" hidden="1"/>
    <cellStyle name="Lien hypertexte visité" xfId="349" builtinId="9" hidden="1"/>
    <cellStyle name="Lien hypertexte visité" xfId="350" builtinId="9" hidden="1"/>
    <cellStyle name="Lien hypertexte visité" xfId="351" builtinId="9" hidden="1"/>
    <cellStyle name="Lien hypertexte visité" xfId="352" builtinId="9" hidden="1"/>
    <cellStyle name="Lien hypertexte visité" xfId="353" builtinId="9" hidden="1"/>
    <cellStyle name="Lien hypertexte visité" xfId="354" builtinId="9" hidden="1"/>
    <cellStyle name="Lien hypertexte visité" xfId="355" builtinId="9" hidden="1"/>
    <cellStyle name="Lien hypertexte visité" xfId="356" builtinId="9" hidden="1"/>
    <cellStyle name="Lien hypertexte visité" xfId="357" builtinId="9" hidden="1"/>
    <cellStyle name="Lien hypertexte visité" xfId="358" builtinId="9" hidden="1"/>
    <cellStyle name="Lien hypertexte visité" xfId="359" builtinId="9" hidden="1"/>
    <cellStyle name="Lien hypertexte visité" xfId="360" builtinId="9" hidden="1"/>
    <cellStyle name="Lien hypertexte visité" xfId="361" builtinId="9" hidden="1"/>
    <cellStyle name="Lien hypertexte visité" xfId="362" builtinId="9" hidden="1"/>
    <cellStyle name="Lien hypertexte visité" xfId="363" builtinId="9" hidden="1"/>
    <cellStyle name="Lien hypertexte visité" xfId="364" builtinId="9" hidden="1"/>
    <cellStyle name="Lien hypertexte visité" xfId="365" builtinId="9" hidden="1"/>
    <cellStyle name="Lien hypertexte visité" xfId="366" builtinId="9" hidden="1"/>
    <cellStyle name="Lien hypertexte visité" xfId="367" builtinId="9" hidden="1"/>
    <cellStyle name="Lien hypertexte visité" xfId="368" builtinId="9" hidden="1"/>
    <cellStyle name="Lien hypertexte visité" xfId="369" builtinId="9" hidden="1"/>
    <cellStyle name="Lien hypertexte visité" xfId="370" builtinId="9" hidden="1"/>
    <cellStyle name="Lien hypertexte visité" xfId="371" builtinId="9" hidden="1"/>
    <cellStyle name="Lien hypertexte visité" xfId="372" builtinId="9" hidden="1"/>
    <cellStyle name="Lien hypertexte visité" xfId="373" builtinId="9" hidden="1"/>
    <cellStyle name="Lien hypertexte visité" xfId="374" builtinId="9" hidden="1"/>
    <cellStyle name="Lien hypertexte visité" xfId="375" builtinId="9" hidden="1"/>
    <cellStyle name="Lien hypertexte visité" xfId="376" builtinId="9" hidden="1"/>
    <cellStyle name="Lien hypertexte visité" xfId="377" builtinId="9" hidden="1"/>
    <cellStyle name="Lien hypertexte visité" xfId="378" builtinId="9" hidden="1"/>
    <cellStyle name="Lien hypertexte visité" xfId="379" builtinId="9" hidden="1"/>
    <cellStyle name="Lien hypertexte visité" xfId="380" builtinId="9" hidden="1"/>
    <cellStyle name="Lien hypertexte visité" xfId="381" builtinId="9" hidden="1"/>
    <cellStyle name="Lien hypertexte visité" xfId="382" builtinId="9" hidden="1"/>
    <cellStyle name="Lien hypertexte visité" xfId="383" builtinId="9" hidden="1"/>
    <cellStyle name="Lien hypertexte visité" xfId="384" builtinId="9" hidden="1"/>
    <cellStyle name="Lien hypertexte visité" xfId="385" builtinId="9" hidden="1"/>
    <cellStyle name="Lien hypertexte visité" xfId="386" builtinId="9" hidden="1"/>
    <cellStyle name="Lien hypertexte visité" xfId="387" builtinId="9" hidden="1"/>
    <cellStyle name="Lien hypertexte visité" xfId="388" builtinId="9" hidden="1"/>
    <cellStyle name="Lien hypertexte visité" xfId="389" builtinId="9" hidden="1"/>
    <cellStyle name="Lien hypertexte visité" xfId="390" builtinId="9" hidden="1"/>
    <cellStyle name="Lien hypertexte visité" xfId="391" builtinId="9" hidden="1"/>
    <cellStyle name="Lien hypertexte visité" xfId="392" builtinId="9" hidden="1"/>
    <cellStyle name="Lien hypertexte visité" xfId="393" builtinId="9" hidden="1"/>
    <cellStyle name="Lien hypertexte visité" xfId="394" builtinId="9" hidden="1"/>
    <cellStyle name="Lien hypertexte visité" xfId="395" builtinId="9" hidden="1"/>
    <cellStyle name="Lien hypertexte visité" xfId="396" builtinId="9" hidden="1"/>
    <cellStyle name="Lien hypertexte visité" xfId="397" builtinId="9" hidden="1"/>
    <cellStyle name="Lien hypertexte visité" xfId="398" builtinId="9" hidden="1"/>
    <cellStyle name="Lien hypertexte visité" xfId="399" builtinId="9" hidden="1"/>
    <cellStyle name="Lien hypertexte visité" xfId="400" builtinId="9" hidden="1"/>
    <cellStyle name="Lien hypertexte visité" xfId="401" builtinId="9" hidden="1"/>
    <cellStyle name="Lien hypertexte visité" xfId="402" builtinId="9" hidden="1"/>
    <cellStyle name="Lien hypertexte visité" xfId="403" builtinId="9" hidden="1"/>
    <cellStyle name="Lien hypertexte visité" xfId="404" builtinId="9" hidden="1"/>
    <cellStyle name="Lien hypertexte visité" xfId="405" builtinId="9" hidden="1"/>
    <cellStyle name="Lien hypertexte visité" xfId="406" builtinId="9" hidden="1"/>
    <cellStyle name="Lien hypertexte visité" xfId="407" builtinId="9" hidden="1"/>
    <cellStyle name="Lien hypertexte visité" xfId="408" builtinId="9" hidden="1"/>
    <cellStyle name="Lien hypertexte visité" xfId="409" builtinId="9" hidden="1"/>
    <cellStyle name="Lien hypertexte visité" xfId="410" builtinId="9" hidden="1"/>
    <cellStyle name="Lien hypertexte visité" xfId="411" builtinId="9" hidden="1"/>
    <cellStyle name="Lien hypertexte visité" xfId="412" builtinId="9" hidden="1"/>
    <cellStyle name="Lien hypertexte visité" xfId="413" builtinId="9" hidden="1"/>
    <cellStyle name="Lien hypertexte visité" xfId="414" builtinId="9" hidden="1"/>
    <cellStyle name="Lien hypertexte visité" xfId="415" builtinId="9" hidden="1"/>
    <cellStyle name="Lien hypertexte visité" xfId="416" builtinId="9" hidden="1"/>
    <cellStyle name="Lien hypertexte visité" xfId="417" builtinId="9" hidden="1"/>
    <cellStyle name="Lien hypertexte visité" xfId="418" builtinId="9" hidden="1"/>
    <cellStyle name="Lien hypertexte visité" xfId="419" builtinId="9" hidden="1"/>
    <cellStyle name="Lien hypertexte visité" xfId="420" builtinId="9" hidden="1"/>
    <cellStyle name="Lien hypertexte visité" xfId="421" builtinId="9" hidden="1"/>
    <cellStyle name="Lien hypertexte visité" xfId="422" builtinId="9" hidden="1"/>
    <cellStyle name="Lien hypertexte visité" xfId="423" builtinId="9" hidden="1"/>
    <cellStyle name="Lien hypertexte visité" xfId="424" builtinId="9" hidden="1"/>
    <cellStyle name="Lien hypertexte visité" xfId="425" builtinId="9" hidden="1"/>
    <cellStyle name="Lien hypertexte visité" xfId="426" builtinId="9" hidden="1"/>
    <cellStyle name="Lien hypertexte visité" xfId="427" builtinId="9" hidden="1"/>
    <cellStyle name="Lien hypertexte visité" xfId="428" builtinId="9" hidden="1"/>
    <cellStyle name="Lien hypertexte visité" xfId="429" builtinId="9" hidden="1"/>
    <cellStyle name="Lien hypertexte visité" xfId="430" builtinId="9" hidden="1"/>
    <cellStyle name="Lien hypertexte visité" xfId="431" builtinId="9" hidden="1"/>
    <cellStyle name="Lien hypertexte visité" xfId="432" builtinId="9" hidden="1"/>
    <cellStyle name="Lien hypertexte visité" xfId="433" builtinId="9" hidden="1"/>
    <cellStyle name="Lien hypertexte visité" xfId="434" builtinId="9" hidden="1"/>
    <cellStyle name="Lien hypertexte visité" xfId="435" builtinId="9" hidden="1"/>
    <cellStyle name="Lien hypertexte visité" xfId="436" builtinId="9" hidden="1"/>
    <cellStyle name="Lien hypertexte visité" xfId="437" builtinId="9" hidden="1"/>
    <cellStyle name="Lien hypertexte visité" xfId="438" builtinId="9" hidden="1"/>
    <cellStyle name="Lien hypertexte visité" xfId="439" builtinId="9" hidden="1"/>
    <cellStyle name="Lien hypertexte visité" xfId="440" builtinId="9" hidden="1"/>
    <cellStyle name="Lien hypertexte visité" xfId="441" builtinId="9" hidden="1"/>
    <cellStyle name="Lien hypertexte visité" xfId="442" builtinId="9" hidden="1"/>
    <cellStyle name="Lien hypertexte visité" xfId="443" builtinId="9" hidden="1"/>
    <cellStyle name="Lien hypertexte visité" xfId="444" builtinId="9" hidden="1"/>
    <cellStyle name="Lien hypertexte visité" xfId="445" builtinId="9" hidden="1"/>
    <cellStyle name="Lien hypertexte visité" xfId="446" builtinId="9" hidden="1"/>
    <cellStyle name="Lien hypertexte visité" xfId="447" builtinId="9" hidden="1"/>
    <cellStyle name="Lien hypertexte visité" xfId="448" builtinId="9" hidden="1"/>
    <cellStyle name="Lien hypertexte visité" xfId="449" builtinId="9" hidden="1"/>
    <cellStyle name="Lien hypertexte visité" xfId="450" builtinId="9" hidden="1"/>
    <cellStyle name="Lien hypertexte visité" xfId="451" builtinId="9" hidden="1"/>
    <cellStyle name="Lien hypertexte visité" xfId="452" builtinId="9" hidden="1"/>
    <cellStyle name="Lien hypertexte visité" xfId="453" builtinId="9" hidden="1"/>
    <cellStyle name="Lien hypertexte visité" xfId="454" builtinId="9" hidden="1"/>
    <cellStyle name="Lien hypertexte visité" xfId="455" builtinId="9" hidden="1"/>
    <cellStyle name="Lien hypertexte visité" xfId="456" builtinId="9" hidden="1"/>
    <cellStyle name="Lien hypertexte visité" xfId="457" builtinId="9" hidden="1"/>
    <cellStyle name="Lien hypertexte visité" xfId="458" builtinId="9" hidden="1"/>
    <cellStyle name="Lien hypertexte visité" xfId="459" builtinId="9" hidden="1"/>
    <cellStyle name="Lien hypertexte visité" xfId="460" builtinId="9" hidden="1"/>
    <cellStyle name="Lien hypertexte visité" xfId="461" builtinId="9" hidden="1"/>
    <cellStyle name="Lien hypertexte visité" xfId="462" builtinId="9" hidden="1"/>
    <cellStyle name="Lien hypertexte visité" xfId="463" builtinId="9" hidden="1"/>
    <cellStyle name="Lien hypertexte visité" xfId="464" builtinId="9" hidden="1"/>
    <cellStyle name="Lien hypertexte visité" xfId="465" builtinId="9" hidden="1"/>
    <cellStyle name="Lien hypertexte visité" xfId="466" builtinId="9" hidden="1"/>
    <cellStyle name="Lien hypertexte visité" xfId="467" builtinId="9" hidden="1"/>
    <cellStyle name="Lien hypertexte visité" xfId="468" builtinId="9" hidden="1"/>
    <cellStyle name="Lien hypertexte visité" xfId="469" builtinId="9" hidden="1"/>
    <cellStyle name="Lien hypertexte visité" xfId="470" builtinId="9" hidden="1"/>
    <cellStyle name="Lien hypertexte visité" xfId="471" builtinId="9" hidden="1"/>
    <cellStyle name="Lien hypertexte visité" xfId="472" builtinId="9" hidden="1"/>
    <cellStyle name="Lien hypertexte visité" xfId="473" builtinId="9" hidden="1"/>
    <cellStyle name="Lien hypertexte visité" xfId="474" builtinId="9" hidden="1"/>
    <cellStyle name="Lien hypertexte visité" xfId="475" builtinId="9" hidden="1"/>
    <cellStyle name="Lien hypertexte visité" xfId="476" builtinId="9" hidden="1"/>
    <cellStyle name="Lien hypertexte visité" xfId="477" builtinId="9" hidden="1"/>
    <cellStyle name="Lien hypertexte visité" xfId="478" builtinId="9" hidden="1"/>
    <cellStyle name="Lien hypertexte visité" xfId="479" builtinId="9" hidden="1"/>
    <cellStyle name="Lien hypertexte visité" xfId="480" builtinId="9" hidden="1"/>
    <cellStyle name="Lien hypertexte visité" xfId="481" builtinId="9" hidden="1"/>
    <cellStyle name="Lien hypertexte visité" xfId="482" builtinId="9" hidden="1"/>
    <cellStyle name="Lien hypertexte visité" xfId="483" builtinId="9" hidden="1"/>
    <cellStyle name="Lien hypertexte visité" xfId="484" builtinId="9" hidden="1"/>
    <cellStyle name="Lien hypertexte visité" xfId="485" builtinId="9" hidden="1"/>
    <cellStyle name="Lien hypertexte visité" xfId="486" builtinId="9" hidden="1"/>
    <cellStyle name="Lien hypertexte visité" xfId="487" builtinId="9" hidden="1"/>
    <cellStyle name="Lien hypertexte visité" xfId="488" builtinId="9" hidden="1"/>
    <cellStyle name="Lien hypertexte visité" xfId="489" builtinId="9" hidden="1"/>
    <cellStyle name="Lien hypertexte visité" xfId="490" builtinId="9" hidden="1"/>
    <cellStyle name="Lien hypertexte visité" xfId="491" builtinId="9" hidden="1"/>
    <cellStyle name="Lien hypertexte visité" xfId="492" builtinId="9" hidden="1"/>
    <cellStyle name="Lien hypertexte visité" xfId="493" builtinId="9" hidden="1"/>
    <cellStyle name="Lien hypertexte visité" xfId="494" builtinId="9" hidden="1"/>
    <cellStyle name="Lien hypertexte visité" xfId="495" builtinId="9" hidden="1"/>
    <cellStyle name="Lien hypertexte visité" xfId="496" builtinId="9" hidden="1"/>
    <cellStyle name="Lien hypertexte visité" xfId="497" builtinId="9" hidden="1"/>
    <cellStyle name="Lien hypertexte visité" xfId="498" builtinId="9" hidden="1"/>
    <cellStyle name="Lien hypertexte visité" xfId="499" builtinId="9" hidden="1"/>
    <cellStyle name="Lien hypertexte visité" xfId="500" builtinId="9" hidden="1"/>
    <cellStyle name="Lien hypertexte visité" xfId="501" builtinId="9" hidden="1"/>
    <cellStyle name="Lien hypertexte visité" xfId="502" builtinId="9" hidden="1"/>
    <cellStyle name="Lien hypertexte visité" xfId="503" builtinId="9" hidden="1"/>
    <cellStyle name="Lien hypertexte visité" xfId="504" builtinId="9" hidden="1"/>
    <cellStyle name="Lien hypertexte visité" xfId="505" builtinId="9" hidden="1"/>
    <cellStyle name="Lien hypertexte visité" xfId="506" builtinId="9" hidden="1"/>
    <cellStyle name="Lien hypertexte visité" xfId="507" builtinId="9" hidden="1"/>
    <cellStyle name="Lien hypertexte visité" xfId="508" builtinId="9" hidden="1"/>
    <cellStyle name="Lien hypertexte visité" xfId="509" builtinId="9" hidden="1"/>
    <cellStyle name="Lien hypertexte visité" xfId="510" builtinId="9" hidden="1"/>
    <cellStyle name="Lien hypertexte visité" xfId="511" builtinId="9" hidden="1"/>
    <cellStyle name="Lien hypertexte visité" xfId="512" builtinId="9" hidden="1"/>
    <cellStyle name="Lien hypertexte visité" xfId="513" builtinId="9" hidden="1"/>
    <cellStyle name="Lien hypertexte visité" xfId="514" builtinId="9" hidden="1"/>
    <cellStyle name="Lien hypertexte visité" xfId="515" builtinId="9" hidden="1"/>
    <cellStyle name="Lien hypertexte visité" xfId="516" builtinId="9" hidden="1"/>
    <cellStyle name="Lien hypertexte visité" xfId="517" builtinId="9" hidden="1"/>
    <cellStyle name="Lien hypertexte visité" xfId="518" builtinId="9" hidden="1"/>
    <cellStyle name="Lien hypertexte visité" xfId="519" builtinId="9" hidden="1"/>
    <cellStyle name="Lien hypertexte visité" xfId="520" builtinId="9" hidden="1"/>
    <cellStyle name="Lien hypertexte visité" xfId="521" builtinId="9" hidden="1"/>
    <cellStyle name="Lien hypertexte visité" xfId="522" builtinId="9" hidden="1"/>
    <cellStyle name="Lien hypertexte visité" xfId="523" builtinId="9" hidden="1"/>
    <cellStyle name="Lien hypertexte visité" xfId="524" builtinId="9" hidden="1"/>
    <cellStyle name="Lien hypertexte visité" xfId="525" builtinId="9" hidden="1"/>
    <cellStyle name="Lien hypertexte visité" xfId="526" builtinId="9" hidden="1"/>
    <cellStyle name="Lien hypertexte visité" xfId="527" builtinId="9" hidden="1"/>
    <cellStyle name="Lien hypertexte visité" xfId="528" builtinId="9" hidden="1"/>
    <cellStyle name="Lien hypertexte visité" xfId="529" builtinId="9" hidden="1"/>
    <cellStyle name="Lien hypertexte visité" xfId="530" builtinId="9" hidden="1"/>
    <cellStyle name="Lien hypertexte visité" xfId="531" builtinId="9" hidden="1"/>
    <cellStyle name="Lien hypertexte visité" xfId="532" builtinId="9" hidden="1"/>
    <cellStyle name="Lien hypertexte visité" xfId="533" builtinId="9" hidden="1"/>
    <cellStyle name="Lien hypertexte visité" xfId="534" builtinId="9" hidden="1"/>
    <cellStyle name="Lien hypertexte visité" xfId="535" builtinId="9" hidden="1"/>
    <cellStyle name="Lien hypertexte visité" xfId="536" builtinId="9" hidden="1"/>
    <cellStyle name="Lien hypertexte visité" xfId="537" builtinId="9" hidden="1"/>
    <cellStyle name="Lien hypertexte visité" xfId="538" builtinId="9" hidden="1"/>
    <cellStyle name="Lien hypertexte visité" xfId="539" builtinId="9" hidden="1"/>
    <cellStyle name="Lien hypertexte visité" xfId="540" builtinId="9" hidden="1"/>
    <cellStyle name="Lien hypertexte visité" xfId="541" builtinId="9" hidden="1"/>
    <cellStyle name="Lien hypertexte visité" xfId="542" builtinId="9" hidden="1"/>
    <cellStyle name="Lien hypertexte visité" xfId="543" builtinId="9" hidden="1"/>
    <cellStyle name="Lien hypertexte visité" xfId="544" builtinId="9" hidden="1"/>
    <cellStyle name="Lien hypertexte visité" xfId="545" builtinId="9" hidden="1"/>
    <cellStyle name="Lien hypertexte visité" xfId="546" builtinId="9" hidden="1"/>
    <cellStyle name="Lien hypertexte visité" xfId="547" builtinId="9" hidden="1"/>
    <cellStyle name="Lien hypertexte visité" xfId="548" builtinId="9" hidden="1"/>
    <cellStyle name="Lien hypertexte visité" xfId="549" builtinId="9" hidden="1"/>
    <cellStyle name="Lien hypertexte visité" xfId="550" builtinId="9" hidden="1"/>
    <cellStyle name="Lien hypertexte visité" xfId="551" builtinId="9" hidden="1"/>
    <cellStyle name="Lien hypertexte visité" xfId="552" builtinId="9" hidden="1"/>
    <cellStyle name="Lien hypertexte visité" xfId="553" builtinId="9" hidden="1"/>
    <cellStyle name="Lien hypertexte visité" xfId="554" builtinId="9" hidden="1"/>
    <cellStyle name="Lien hypertexte visité" xfId="555" builtinId="9" hidden="1"/>
    <cellStyle name="Lien hypertexte visité" xfId="556" builtinId="9" hidden="1"/>
    <cellStyle name="Lien hypertexte visité" xfId="557" builtinId="9" hidden="1"/>
    <cellStyle name="Lien hypertexte visité" xfId="558" builtinId="9" hidden="1"/>
    <cellStyle name="Lien hypertexte visité" xfId="559" builtinId="9" hidden="1"/>
    <cellStyle name="Lien hypertexte visité" xfId="560" builtinId="9" hidden="1"/>
    <cellStyle name="Lien hypertexte visité" xfId="561" builtinId="9" hidden="1"/>
    <cellStyle name="Lien hypertexte visité" xfId="562" builtinId="9" hidden="1"/>
    <cellStyle name="Lien hypertexte visité" xfId="563" builtinId="9" hidden="1"/>
    <cellStyle name="Lien hypertexte visité" xfId="564" builtinId="9" hidden="1"/>
    <cellStyle name="Lien hypertexte visité" xfId="565" builtinId="9" hidden="1"/>
    <cellStyle name="Lien hypertexte visité" xfId="566" builtinId="9" hidden="1"/>
    <cellStyle name="Lien hypertexte visité" xfId="567" builtinId="9" hidden="1"/>
    <cellStyle name="Lien hypertexte visité" xfId="568" builtinId="9" hidden="1"/>
    <cellStyle name="Lien hypertexte visité" xfId="569" builtinId="9" hidden="1"/>
    <cellStyle name="Lien hypertexte visité" xfId="570" builtinId="9" hidden="1"/>
    <cellStyle name="Lien hypertexte visité" xfId="571" builtinId="9" hidden="1"/>
    <cellStyle name="Lien hypertexte visité" xfId="572" builtinId="9" hidden="1"/>
    <cellStyle name="Lien hypertexte visité" xfId="573" builtinId="9" hidden="1"/>
    <cellStyle name="Lien hypertexte visité" xfId="574" builtinId="9" hidden="1"/>
    <cellStyle name="Lien hypertexte visité" xfId="575" builtinId="9" hidden="1"/>
    <cellStyle name="Lien hypertexte visité" xfId="576" builtinId="9" hidden="1"/>
    <cellStyle name="Lien hypertexte visité" xfId="577" builtinId="9" hidden="1"/>
    <cellStyle name="Lien hypertexte visité" xfId="578" builtinId="9" hidden="1"/>
    <cellStyle name="Lien hypertexte visité" xfId="579" builtinId="9" hidden="1"/>
    <cellStyle name="Lien hypertexte visité" xfId="580" builtinId="9" hidden="1"/>
    <cellStyle name="Lien hypertexte visité" xfId="581" builtinId="9" hidden="1"/>
    <cellStyle name="Lien hypertexte visité" xfId="582" builtinId="9" hidden="1"/>
    <cellStyle name="Lien hypertexte visité" xfId="583" builtinId="9" hidden="1"/>
    <cellStyle name="Lien hypertexte visité" xfId="584" builtinId="9" hidden="1"/>
    <cellStyle name="Lien hypertexte visité" xfId="585" builtinId="9" hidden="1"/>
    <cellStyle name="Lien hypertexte visité" xfId="586" builtinId="9" hidden="1"/>
    <cellStyle name="Lien hypertexte visité" xfId="587" builtinId="9" hidden="1"/>
    <cellStyle name="Lien hypertexte visité" xfId="588" builtinId="9" hidden="1"/>
    <cellStyle name="Lien hypertexte visité" xfId="589" builtinId="9" hidden="1"/>
    <cellStyle name="Lien hypertexte visité" xfId="590" builtinId="9" hidden="1"/>
    <cellStyle name="Lien hypertexte visité" xfId="591" builtinId="9" hidden="1"/>
    <cellStyle name="Lien hypertexte visité" xfId="592" builtinId="9" hidden="1"/>
    <cellStyle name="Lien hypertexte visité" xfId="593" builtinId="9" hidden="1"/>
    <cellStyle name="Lien hypertexte visité" xfId="594" builtinId="9" hidden="1"/>
    <cellStyle name="Lien hypertexte visité" xfId="595" builtinId="9" hidden="1"/>
    <cellStyle name="Lien hypertexte visité" xfId="596" builtinId="9" hidden="1"/>
    <cellStyle name="Lien hypertexte visité" xfId="597" builtinId="9" hidden="1"/>
    <cellStyle name="Lien hypertexte visité" xfId="598" builtinId="9" hidden="1"/>
    <cellStyle name="Lien hypertexte visité" xfId="599" builtinId="9" hidden="1"/>
    <cellStyle name="Lien hypertexte visité" xfId="600" builtinId="9" hidden="1"/>
    <cellStyle name="Lien hypertexte visité" xfId="601" builtinId="9" hidden="1"/>
    <cellStyle name="Lien hypertexte visité" xfId="602" builtinId="9" hidden="1"/>
    <cellStyle name="Lien hypertexte visité" xfId="603" builtinId="9" hidden="1"/>
    <cellStyle name="Lien hypertexte visité" xfId="604" builtinId="9" hidden="1"/>
    <cellStyle name="Lien hypertexte visité" xfId="605" builtinId="9" hidden="1"/>
    <cellStyle name="Lien hypertexte visité" xfId="606" builtinId="9" hidden="1"/>
    <cellStyle name="Lien hypertexte visité" xfId="607" builtinId="9" hidden="1"/>
    <cellStyle name="Lien hypertexte visité" xfId="608" builtinId="9" hidden="1"/>
    <cellStyle name="Lien hypertexte visité" xfId="609" builtinId="9" hidden="1"/>
    <cellStyle name="Lien hypertexte visité" xfId="610" builtinId="9" hidden="1"/>
    <cellStyle name="Lien hypertexte visité" xfId="611" builtinId="9" hidden="1"/>
    <cellStyle name="Lien hypertexte visité" xfId="612" builtinId="9" hidden="1"/>
    <cellStyle name="Lien hypertexte visité" xfId="613" builtinId="9" hidden="1"/>
    <cellStyle name="Lien hypertexte visité" xfId="614" builtinId="9" hidden="1"/>
    <cellStyle name="Lien hypertexte visité" xfId="615" builtinId="9" hidden="1"/>
    <cellStyle name="Lien hypertexte visité" xfId="616" builtinId="9" hidden="1"/>
    <cellStyle name="Lien hypertexte visité" xfId="617" builtinId="9" hidden="1"/>
    <cellStyle name="Lien hypertexte visité" xfId="618" builtinId="9" hidden="1"/>
    <cellStyle name="Lien hypertexte visité" xfId="619" builtinId="9" hidden="1"/>
    <cellStyle name="Lien hypertexte visité" xfId="620" builtinId="9" hidden="1"/>
    <cellStyle name="Lien hypertexte visité" xfId="621" builtinId="9" hidden="1"/>
    <cellStyle name="Lien hypertexte visité" xfId="622" builtinId="9" hidden="1"/>
    <cellStyle name="Lien hypertexte visité" xfId="623" builtinId="9" hidden="1"/>
    <cellStyle name="Lien hypertexte visité" xfId="624" builtinId="9" hidden="1"/>
    <cellStyle name="Lien hypertexte visité" xfId="625" builtinId="9" hidden="1"/>
    <cellStyle name="Lien hypertexte visité" xfId="626" builtinId="9" hidden="1"/>
    <cellStyle name="Lien hypertexte visité" xfId="627" builtinId="9" hidden="1"/>
    <cellStyle name="Lien hypertexte visité" xfId="628" builtinId="9" hidden="1"/>
    <cellStyle name="Lien hypertexte visité" xfId="629" builtinId="9" hidden="1"/>
    <cellStyle name="Lien hypertexte visité" xfId="630" builtinId="9" hidden="1"/>
    <cellStyle name="Lien hypertexte visité" xfId="631" builtinId="9" hidden="1"/>
    <cellStyle name="Lien hypertexte visité" xfId="632" builtinId="9" hidden="1"/>
    <cellStyle name="Lien hypertexte visité" xfId="633" builtinId="9" hidden="1"/>
    <cellStyle name="Lien hypertexte visité" xfId="634" builtinId="9" hidden="1"/>
    <cellStyle name="Lien hypertexte visité" xfId="635" builtinId="9" hidden="1"/>
    <cellStyle name="Lien hypertexte visité" xfId="636" builtinId="9" hidden="1"/>
    <cellStyle name="Lien hypertexte visité" xfId="637" builtinId="9" hidden="1"/>
    <cellStyle name="Lien hypertexte visité" xfId="638" builtinId="9" hidden="1"/>
    <cellStyle name="Lien hypertexte visité" xfId="639" builtinId="9" hidden="1"/>
    <cellStyle name="Lien hypertexte visité" xfId="640" builtinId="9" hidden="1"/>
    <cellStyle name="Lien hypertexte visité" xfId="641" builtinId="9" hidden="1"/>
    <cellStyle name="Lien hypertexte visité" xfId="642" builtinId="9" hidden="1"/>
    <cellStyle name="Lien hypertexte visité" xfId="643" builtinId="9" hidden="1"/>
    <cellStyle name="Lien hypertexte visité" xfId="644" builtinId="9" hidden="1"/>
    <cellStyle name="Lien hypertexte visité" xfId="645" builtinId="9" hidden="1"/>
    <cellStyle name="Lien hypertexte visité" xfId="646" builtinId="9" hidden="1"/>
    <cellStyle name="Lien hypertexte visité" xfId="647" builtinId="9" hidden="1"/>
    <cellStyle name="Lien hypertexte visité" xfId="648" builtinId="9" hidden="1"/>
    <cellStyle name="Lien hypertexte visité" xfId="649" builtinId="9" hidden="1"/>
    <cellStyle name="Lien hypertexte visité" xfId="650" builtinId="9" hidden="1"/>
    <cellStyle name="Lien hypertexte visité" xfId="651" builtinId="9" hidden="1"/>
    <cellStyle name="Lien hypertexte visité" xfId="652" builtinId="9" hidden="1"/>
    <cellStyle name="Lien hypertexte visité" xfId="653" builtinId="9" hidden="1"/>
    <cellStyle name="Lien hypertexte visité" xfId="654" builtinId="9" hidden="1"/>
    <cellStyle name="Lien hypertexte visité" xfId="655" builtinId="9" hidden="1"/>
    <cellStyle name="Lien hypertexte visité" xfId="656" builtinId="9" hidden="1"/>
    <cellStyle name="Lien hypertexte visité" xfId="657" builtinId="9" hidden="1"/>
    <cellStyle name="Lien hypertexte visité" xfId="658" builtinId="9" hidden="1"/>
    <cellStyle name="Lien hypertexte visité" xfId="659" builtinId="9" hidden="1"/>
    <cellStyle name="Lien hypertexte visité" xfId="660" builtinId="9" hidden="1"/>
    <cellStyle name="Lien hypertexte visité" xfId="661" builtinId="9" hidden="1"/>
    <cellStyle name="Lien hypertexte visité" xfId="662" builtinId="9" hidden="1"/>
    <cellStyle name="Lien hypertexte visité" xfId="663" builtinId="9" hidden="1"/>
    <cellStyle name="Lien hypertexte visité" xfId="664" builtinId="9" hidden="1"/>
    <cellStyle name="Lien hypertexte visité" xfId="665" builtinId="9" hidden="1"/>
    <cellStyle name="Lien hypertexte visité" xfId="666" builtinId="9" hidden="1"/>
    <cellStyle name="Lien hypertexte visité" xfId="667" builtinId="9" hidden="1"/>
    <cellStyle name="Lien hypertexte visité" xfId="668" builtinId="9" hidden="1"/>
    <cellStyle name="Lien hypertexte visité" xfId="669" builtinId="9" hidden="1"/>
    <cellStyle name="Lien hypertexte visité" xfId="670" builtinId="9" hidden="1"/>
    <cellStyle name="Lien hypertexte visité" xfId="671" builtinId="9" hidden="1"/>
    <cellStyle name="Lien hypertexte visité" xfId="672" builtinId="9" hidden="1"/>
    <cellStyle name="Lien hypertexte visité" xfId="673" builtinId="9" hidden="1"/>
    <cellStyle name="Lien hypertexte visité" xfId="674" builtinId="9" hidden="1"/>
    <cellStyle name="Lien hypertexte visité" xfId="675" builtinId="9" hidden="1"/>
    <cellStyle name="Lien hypertexte visité" xfId="676" builtinId="9" hidden="1"/>
    <cellStyle name="Lien hypertexte visité" xfId="677" builtinId="9" hidden="1"/>
    <cellStyle name="Lien hypertexte visité" xfId="678" builtinId="9" hidden="1"/>
    <cellStyle name="Lien hypertexte visité" xfId="679" builtinId="9" hidden="1"/>
    <cellStyle name="Lien hypertexte visité" xfId="680" builtinId="9" hidden="1"/>
    <cellStyle name="Lien hypertexte visité" xfId="681" builtinId="9" hidden="1"/>
    <cellStyle name="Lien hypertexte visité" xfId="682" builtinId="9" hidden="1"/>
    <cellStyle name="Lien hypertexte visité" xfId="683" builtinId="9" hidden="1"/>
    <cellStyle name="Lien hypertexte visité" xfId="684" builtinId="9" hidden="1"/>
    <cellStyle name="Lien hypertexte visité" xfId="685" builtinId="9" hidden="1"/>
    <cellStyle name="Lien hypertexte visité" xfId="686" builtinId="9" hidden="1"/>
    <cellStyle name="Lien hypertexte visité" xfId="687" builtinId="9" hidden="1"/>
    <cellStyle name="Lien hypertexte visité" xfId="688" builtinId="9" hidden="1"/>
    <cellStyle name="Lien hypertexte visité" xfId="689" builtinId="9" hidden="1"/>
    <cellStyle name="Lien hypertexte visité" xfId="690" builtinId="9" hidden="1"/>
    <cellStyle name="Lien hypertexte visité" xfId="691" builtinId="9" hidden="1"/>
    <cellStyle name="Lien hypertexte visité" xfId="692" builtinId="9" hidden="1"/>
    <cellStyle name="Lien hypertexte visité" xfId="693" builtinId="9" hidden="1"/>
    <cellStyle name="Lien hypertexte visité" xfId="694" builtinId="9" hidden="1"/>
    <cellStyle name="Lien hypertexte visité" xfId="695" builtinId="9" hidden="1"/>
    <cellStyle name="Lien hypertexte visité" xfId="696" builtinId="9" hidden="1"/>
    <cellStyle name="Lien hypertexte visité" xfId="697" builtinId="9" hidden="1"/>
    <cellStyle name="Lien hypertexte visité" xfId="698" builtinId="9" hidden="1"/>
    <cellStyle name="Lien hypertexte visité" xfId="699" builtinId="9" hidden="1"/>
    <cellStyle name="Lien hypertexte visité" xfId="700" builtinId="9" hidden="1"/>
    <cellStyle name="Lien hypertexte visité" xfId="701" builtinId="9" hidden="1"/>
    <cellStyle name="Lien hypertexte visité" xfId="702" builtinId="9" hidden="1"/>
    <cellStyle name="Lien hypertexte visité" xfId="703" builtinId="9" hidden="1"/>
    <cellStyle name="Lien hypertexte visité" xfId="704" builtinId="9" hidden="1"/>
    <cellStyle name="Lien hypertexte visité" xfId="705" builtinId="9" hidden="1"/>
    <cellStyle name="Lien hypertexte visité" xfId="706" builtinId="9" hidden="1"/>
    <cellStyle name="Lien hypertexte visité" xfId="707" builtinId="9" hidden="1"/>
    <cellStyle name="Lien hypertexte visité" xfId="708" builtinId="9" hidden="1"/>
    <cellStyle name="Lien hypertexte visité" xfId="709" builtinId="9" hidden="1"/>
    <cellStyle name="Lien hypertexte visité" xfId="710" builtinId="9" hidden="1"/>
    <cellStyle name="Lien hypertexte visité" xfId="711" builtinId="9" hidden="1"/>
    <cellStyle name="Lien hypertexte visité" xfId="712" builtinId="9" hidden="1"/>
    <cellStyle name="Lien hypertexte visité" xfId="713" builtinId="9" hidden="1"/>
    <cellStyle name="Lien hypertexte visité" xfId="714" builtinId="9" hidden="1"/>
    <cellStyle name="Lien hypertexte visité" xfId="715" builtinId="9" hidden="1"/>
    <cellStyle name="Lien hypertexte visité" xfId="716" builtinId="9" hidden="1"/>
    <cellStyle name="Lien hypertexte visité" xfId="717" builtinId="9" hidden="1"/>
    <cellStyle name="Lien hypertexte visité" xfId="718" builtinId="9" hidden="1"/>
    <cellStyle name="Lien hypertexte visité" xfId="719" builtinId="9" hidden="1"/>
    <cellStyle name="Lien hypertexte visité" xfId="720" builtinId="9" hidden="1"/>
    <cellStyle name="Lien hypertexte visité" xfId="721" builtinId="9" hidden="1"/>
    <cellStyle name="Lien hypertexte visité" xfId="722" builtinId="9" hidden="1"/>
    <cellStyle name="Lien hypertexte visité" xfId="723" builtinId="9" hidden="1"/>
    <cellStyle name="Lien hypertexte visité" xfId="724" builtinId="9" hidden="1"/>
    <cellStyle name="Lien hypertexte visité" xfId="725" builtinId="9" hidden="1"/>
    <cellStyle name="Lien hypertexte visité" xfId="726" builtinId="9" hidden="1"/>
    <cellStyle name="Lien hypertexte visité" xfId="727" builtinId="9" hidden="1"/>
    <cellStyle name="Lien hypertexte visité" xfId="728" builtinId="9" hidden="1"/>
    <cellStyle name="Lien hypertexte visité" xfId="729" builtinId="9" hidden="1"/>
    <cellStyle name="Lien hypertexte visité" xfId="730" builtinId="9" hidden="1"/>
    <cellStyle name="Lien hypertexte visité" xfId="731" builtinId="9" hidden="1"/>
    <cellStyle name="Lien hypertexte visité" xfId="732" builtinId="9" hidden="1"/>
    <cellStyle name="Lien hypertexte visité" xfId="733" builtinId="9" hidden="1"/>
    <cellStyle name="Lien hypertexte visité" xfId="734" builtinId="9" hidden="1"/>
    <cellStyle name="Lien hypertexte visité" xfId="735" builtinId="9" hidden="1"/>
    <cellStyle name="Lien hypertexte visité" xfId="736" builtinId="9" hidden="1"/>
    <cellStyle name="Lien hypertexte visité" xfId="737" builtinId="9" hidden="1"/>
    <cellStyle name="Lien hypertexte visité" xfId="738" builtinId="9" hidden="1"/>
    <cellStyle name="Lien hypertexte visité" xfId="739" builtinId="9" hidden="1"/>
    <cellStyle name="Lien hypertexte visité" xfId="740" builtinId="9" hidden="1"/>
    <cellStyle name="Lien hypertexte visité" xfId="741" builtinId="9" hidden="1"/>
    <cellStyle name="Lien hypertexte visité" xfId="742" builtinId="9" hidden="1"/>
    <cellStyle name="Lien hypertexte visité" xfId="743" builtinId="9" hidden="1"/>
    <cellStyle name="Lien hypertexte visité" xfId="744" builtinId="9" hidden="1"/>
    <cellStyle name="Lien hypertexte visité" xfId="745" builtinId="9" hidden="1"/>
    <cellStyle name="Lien hypertexte visité" xfId="746" builtinId="9" hidden="1"/>
    <cellStyle name="Lien hypertexte visité" xfId="747" builtinId="9" hidden="1"/>
    <cellStyle name="Lien hypertexte visité" xfId="748" builtinId="9" hidden="1"/>
    <cellStyle name="Lien hypertexte visité" xfId="749" builtinId="9" hidden="1"/>
    <cellStyle name="Lien hypertexte visité" xfId="750" builtinId="9" hidden="1"/>
    <cellStyle name="Lien hypertexte visité" xfId="751" builtinId="9" hidden="1"/>
    <cellStyle name="Lien hypertexte visité" xfId="752" builtinId="9" hidden="1"/>
    <cellStyle name="Lien hypertexte visité" xfId="753" builtinId="9" hidden="1"/>
    <cellStyle name="Lien hypertexte visité" xfId="754" builtinId="9" hidden="1"/>
    <cellStyle name="Lien hypertexte visité" xfId="755" builtinId="9" hidden="1"/>
    <cellStyle name="Lien hypertexte visité" xfId="756" builtinId="9" hidden="1"/>
    <cellStyle name="Lien hypertexte visité" xfId="757" builtinId="9" hidden="1"/>
    <cellStyle name="Lien hypertexte visité" xfId="758" builtinId="9" hidden="1"/>
    <cellStyle name="Lien hypertexte visité" xfId="759" builtinId="9" hidden="1"/>
    <cellStyle name="Lien hypertexte visité" xfId="760" builtinId="9" hidden="1"/>
    <cellStyle name="Lien hypertexte visité" xfId="761" builtinId="9" hidden="1"/>
    <cellStyle name="Lien hypertexte visité" xfId="762" builtinId="9" hidden="1"/>
    <cellStyle name="Lien hypertexte visité" xfId="763" builtinId="9" hidden="1"/>
    <cellStyle name="Lien hypertexte visité" xfId="764" builtinId="9" hidden="1"/>
    <cellStyle name="Lien hypertexte visité" xfId="765" builtinId="9" hidden="1"/>
    <cellStyle name="Lien hypertexte visité" xfId="766" builtinId="9" hidden="1"/>
    <cellStyle name="Lien hypertexte visité" xfId="767" builtinId="9" hidden="1"/>
    <cellStyle name="Lien hypertexte visité" xfId="768" builtinId="9" hidden="1"/>
    <cellStyle name="Lien hypertexte visité" xfId="769" builtinId="9" hidden="1"/>
    <cellStyle name="Lien hypertexte visité" xfId="770" builtinId="9" hidden="1"/>
    <cellStyle name="Lien hypertexte visité" xfId="771" builtinId="9" hidden="1"/>
    <cellStyle name="Lien hypertexte visité" xfId="772" builtinId="9" hidden="1"/>
    <cellStyle name="Lien hypertexte visité" xfId="773" builtinId="9" hidden="1"/>
    <cellStyle name="Lien hypertexte visité" xfId="774" builtinId="9" hidden="1"/>
    <cellStyle name="Lien hypertexte visité" xfId="775" builtinId="9" hidden="1"/>
    <cellStyle name="Lien hypertexte visité" xfId="776" builtinId="9" hidden="1"/>
    <cellStyle name="Lien hypertexte visité" xfId="777" builtinId="9" hidden="1"/>
    <cellStyle name="Lien hypertexte visité" xfId="778" builtinId="9" hidden="1"/>
    <cellStyle name="Lien hypertexte visité" xfId="779" builtinId="9" hidden="1"/>
    <cellStyle name="Lien hypertexte visité" xfId="780" builtinId="9" hidden="1"/>
    <cellStyle name="Lien hypertexte visité" xfId="781" builtinId="9" hidden="1"/>
    <cellStyle name="Lien hypertexte visité" xfId="782" builtinId="9" hidden="1"/>
    <cellStyle name="Lien hypertexte visité" xfId="783" builtinId="9" hidden="1"/>
    <cellStyle name="Lien hypertexte visité" xfId="784" builtinId="9" hidden="1"/>
    <cellStyle name="Lien hypertexte visité" xfId="785" builtinId="9" hidden="1"/>
    <cellStyle name="Lien hypertexte visité" xfId="786" builtinId="9" hidden="1"/>
    <cellStyle name="Lien hypertexte visité" xfId="787" builtinId="9" hidden="1"/>
    <cellStyle name="Lien hypertexte visité" xfId="788" builtinId="9" hidden="1"/>
    <cellStyle name="Lien hypertexte visité" xfId="789" builtinId="9" hidden="1"/>
    <cellStyle name="Lien hypertexte visité" xfId="790" builtinId="9" hidden="1"/>
    <cellStyle name="Lien hypertexte visité" xfId="791" builtinId="9" hidden="1"/>
    <cellStyle name="Lien hypertexte visité" xfId="792" builtinId="9" hidden="1"/>
    <cellStyle name="Lien hypertexte visité" xfId="793" builtinId="9" hidden="1"/>
    <cellStyle name="Lien hypertexte visité" xfId="794" builtinId="9" hidden="1"/>
    <cellStyle name="Lien hypertexte visité" xfId="795" builtinId="9" hidden="1"/>
    <cellStyle name="Lien hypertexte visité" xfId="796" builtinId="9" hidden="1"/>
    <cellStyle name="Lien hypertexte visité" xfId="797" builtinId="9" hidden="1"/>
    <cellStyle name="Lien hypertexte visité" xfId="798" builtinId="9" hidden="1"/>
    <cellStyle name="Lien hypertexte visité" xfId="799" builtinId="9" hidden="1"/>
    <cellStyle name="Lien hypertexte visité" xfId="800" builtinId="9" hidden="1"/>
    <cellStyle name="Lien hypertexte visité" xfId="801" builtinId="9" hidden="1"/>
    <cellStyle name="Lien hypertexte visité" xfId="802" builtinId="9" hidden="1"/>
    <cellStyle name="Lien hypertexte visité" xfId="803" builtinId="9" hidden="1"/>
    <cellStyle name="Lien hypertexte visité" xfId="804" builtinId="9" hidden="1"/>
    <cellStyle name="Lien hypertexte visité" xfId="805" builtinId="9" hidden="1"/>
    <cellStyle name="Lien hypertexte visité" xfId="806" builtinId="9" hidden="1"/>
    <cellStyle name="Lien hypertexte visité" xfId="807" builtinId="9" hidden="1"/>
    <cellStyle name="Lien hypertexte visité" xfId="808" builtinId="9" hidden="1"/>
    <cellStyle name="Lien hypertexte visité" xfId="809" builtinId="9" hidden="1"/>
    <cellStyle name="Lien hypertexte visité" xfId="810" builtinId="9" hidden="1"/>
    <cellStyle name="Lien hypertexte visité" xfId="811" builtinId="9" hidden="1"/>
    <cellStyle name="Lien hypertexte visité" xfId="812" builtinId="9" hidden="1"/>
    <cellStyle name="Lien hypertexte visité" xfId="813" builtinId="9" hidden="1"/>
    <cellStyle name="Lien hypertexte visité" xfId="814" builtinId="9" hidden="1"/>
    <cellStyle name="Lien hypertexte visité" xfId="815" builtinId="9" hidden="1"/>
    <cellStyle name="Lien hypertexte visité" xfId="816" builtinId="9" hidden="1"/>
    <cellStyle name="Lien hypertexte visité" xfId="817" builtinId="9" hidden="1"/>
    <cellStyle name="Lien hypertexte visité" xfId="818" builtinId="9" hidden="1"/>
    <cellStyle name="Lien hypertexte visité" xfId="819" builtinId="9" hidden="1"/>
    <cellStyle name="Lien hypertexte visité" xfId="820" builtinId="9" hidden="1"/>
    <cellStyle name="Lien hypertexte visité" xfId="821" builtinId="9" hidden="1"/>
    <cellStyle name="Lien hypertexte visité" xfId="822" builtinId="9" hidden="1"/>
    <cellStyle name="Lien hypertexte visité" xfId="823" builtinId="9" hidden="1"/>
    <cellStyle name="Lien hypertexte visité" xfId="824" builtinId="9" hidden="1"/>
    <cellStyle name="Lien hypertexte visité" xfId="825" builtinId="9" hidden="1"/>
    <cellStyle name="Lien hypertexte visité" xfId="826" builtinId="9" hidden="1"/>
    <cellStyle name="Lien hypertexte visité" xfId="827" builtinId="9" hidden="1"/>
    <cellStyle name="Lien hypertexte visité" xfId="828" builtinId="9" hidden="1"/>
    <cellStyle name="Lien hypertexte visité" xfId="829" builtinId="9" hidden="1"/>
    <cellStyle name="Lien hypertexte visité" xfId="830" builtinId="9" hidden="1"/>
    <cellStyle name="Lien hypertexte visité" xfId="831" builtinId="9" hidden="1"/>
    <cellStyle name="Lien hypertexte visité" xfId="832" builtinId="9" hidden="1"/>
    <cellStyle name="Lien hypertexte visité" xfId="833" builtinId="9" hidden="1"/>
    <cellStyle name="Lien hypertexte visité" xfId="834" builtinId="9" hidden="1"/>
    <cellStyle name="Lien hypertexte visité" xfId="835" builtinId="9" hidden="1"/>
    <cellStyle name="Lien hypertexte visité" xfId="836" builtinId="9" hidden="1"/>
    <cellStyle name="Lien hypertexte visité" xfId="837" builtinId="9" hidden="1"/>
    <cellStyle name="Lien hypertexte visité" xfId="838" builtinId="9" hidden="1"/>
    <cellStyle name="Lien hypertexte visité" xfId="839" builtinId="9" hidden="1"/>
    <cellStyle name="Lien hypertexte visité" xfId="840" builtinId="9" hidden="1"/>
    <cellStyle name="Lien hypertexte visité" xfId="841" builtinId="9" hidden="1"/>
    <cellStyle name="Lien hypertexte visité" xfId="842" builtinId="9" hidden="1"/>
    <cellStyle name="Lien hypertexte visité" xfId="843" builtinId="9" hidden="1"/>
    <cellStyle name="Lien hypertexte visité" xfId="844" builtinId="9" hidden="1"/>
    <cellStyle name="Lien hypertexte visité" xfId="845" builtinId="9" hidden="1"/>
    <cellStyle name="Lien hypertexte visité" xfId="846" builtinId="9" hidden="1"/>
    <cellStyle name="Lien hypertexte visité" xfId="847" builtinId="9" hidden="1"/>
    <cellStyle name="Lien hypertexte visité" xfId="848" builtinId="9" hidden="1"/>
    <cellStyle name="Lien hypertexte visité" xfId="849" builtinId="9" hidden="1"/>
    <cellStyle name="Lien hypertexte visité" xfId="850" builtinId="9" hidden="1"/>
    <cellStyle name="Lien hypertexte visité" xfId="851" builtinId="9" hidden="1"/>
    <cellStyle name="Lien hypertexte visité" xfId="852" builtinId="9" hidden="1"/>
    <cellStyle name="Lien hypertexte visité" xfId="853" builtinId="9" hidden="1"/>
    <cellStyle name="Lien hypertexte visité" xfId="854" builtinId="9" hidden="1"/>
    <cellStyle name="Lien hypertexte visité" xfId="855" builtinId="9" hidden="1"/>
    <cellStyle name="Lien hypertexte visité" xfId="856" builtinId="9" hidden="1"/>
    <cellStyle name="Lien hypertexte visité" xfId="857" builtinId="9" hidden="1"/>
    <cellStyle name="Lien hypertexte visité" xfId="858" builtinId="9" hidden="1"/>
    <cellStyle name="Lien hypertexte visité" xfId="859" builtinId="9" hidden="1"/>
    <cellStyle name="Lien hypertexte visité" xfId="860" builtinId="9" hidden="1"/>
    <cellStyle name="Lien hypertexte visité" xfId="861" builtinId="9" hidden="1"/>
    <cellStyle name="Lien hypertexte visité" xfId="862" builtinId="9" hidden="1"/>
    <cellStyle name="Lien hypertexte visité" xfId="863" builtinId="9" hidden="1"/>
    <cellStyle name="Lien hypertexte visité" xfId="864" builtinId="9" hidden="1"/>
    <cellStyle name="Lien hypertexte visité" xfId="865" builtinId="9" hidden="1"/>
    <cellStyle name="Lien hypertexte visité" xfId="866" builtinId="9" hidden="1"/>
    <cellStyle name="Lien hypertexte visité" xfId="867" builtinId="9" hidden="1"/>
    <cellStyle name="Lien hypertexte visité" xfId="868" builtinId="9" hidden="1"/>
    <cellStyle name="Lien hypertexte visité" xfId="869" builtinId="9" hidden="1"/>
    <cellStyle name="Lien hypertexte visité" xfId="870" builtinId="9" hidden="1"/>
    <cellStyle name="Lien hypertexte visité" xfId="871" builtinId="9" hidden="1"/>
    <cellStyle name="Lien hypertexte visité" xfId="872" builtinId="9" hidden="1"/>
    <cellStyle name="Lien hypertexte visité" xfId="873" builtinId="9" hidden="1"/>
    <cellStyle name="Lien hypertexte visité" xfId="874" builtinId="9" hidden="1"/>
    <cellStyle name="Lien hypertexte visité" xfId="875" builtinId="9" hidden="1"/>
    <cellStyle name="Lien hypertexte visité" xfId="876" builtinId="9" hidden="1"/>
    <cellStyle name="Lien hypertexte visité" xfId="877" builtinId="9" hidden="1"/>
    <cellStyle name="Lien hypertexte visité" xfId="878" builtinId="9" hidden="1"/>
    <cellStyle name="Lien hypertexte visité" xfId="879" builtinId="9" hidden="1"/>
    <cellStyle name="Lien hypertexte visité" xfId="880" builtinId="9" hidden="1"/>
    <cellStyle name="Lien hypertexte visité" xfId="881" builtinId="9" hidden="1"/>
    <cellStyle name="Lien hypertexte visité" xfId="882" builtinId="9" hidden="1"/>
    <cellStyle name="Lien hypertexte visité" xfId="883" builtinId="9" hidden="1"/>
    <cellStyle name="Lien hypertexte visité" xfId="884" builtinId="9" hidden="1"/>
    <cellStyle name="Lien hypertexte visité" xfId="885" builtinId="9" hidden="1"/>
    <cellStyle name="Lien hypertexte visité" xfId="886" builtinId="9" hidden="1"/>
    <cellStyle name="Lien hypertexte visité" xfId="887" builtinId="9" hidden="1"/>
    <cellStyle name="Lien hypertexte visité" xfId="888" builtinId="9" hidden="1"/>
    <cellStyle name="Lien hypertexte visité" xfId="889" builtinId="9" hidden="1"/>
    <cellStyle name="Lien hypertexte visité" xfId="890" builtinId="9" hidden="1"/>
    <cellStyle name="Lien hypertexte visité" xfId="891" builtinId="9" hidden="1"/>
    <cellStyle name="Lien hypertexte visité" xfId="892" builtinId="9" hidden="1"/>
    <cellStyle name="Lien hypertexte visité" xfId="893" builtinId="9" hidden="1"/>
    <cellStyle name="Lien hypertexte visité" xfId="894" builtinId="9" hidden="1"/>
    <cellStyle name="Lien hypertexte visité" xfId="895" builtinId="9" hidden="1"/>
    <cellStyle name="Lien hypertexte visité" xfId="896" builtinId="9" hidden="1"/>
    <cellStyle name="Lien hypertexte visité" xfId="897" builtinId="9" hidden="1"/>
    <cellStyle name="Lien hypertexte visité" xfId="898" builtinId="9" hidden="1"/>
    <cellStyle name="Lien hypertexte visité" xfId="899" builtinId="9" hidden="1"/>
    <cellStyle name="Lien hypertexte visité" xfId="900" builtinId="9" hidden="1"/>
    <cellStyle name="Lien hypertexte visité" xfId="901" builtinId="9" hidden="1"/>
    <cellStyle name="Lien hypertexte visité" xfId="902" builtinId="9" hidden="1"/>
    <cellStyle name="Lien hypertexte visité" xfId="903" builtinId="9" hidden="1"/>
    <cellStyle name="Lien hypertexte visité" xfId="904" builtinId="9" hidden="1"/>
    <cellStyle name="Lien hypertexte visité" xfId="905" builtinId="9" hidden="1"/>
    <cellStyle name="Lien hypertexte visité" xfId="906" builtinId="9" hidden="1"/>
    <cellStyle name="Lien hypertexte visité" xfId="907" builtinId="9" hidden="1"/>
    <cellStyle name="Lien hypertexte visité" xfId="908" builtinId="9" hidden="1"/>
    <cellStyle name="Lien hypertexte visité" xfId="909" builtinId="9" hidden="1"/>
    <cellStyle name="Lien hypertexte visité" xfId="910" builtinId="9" hidden="1"/>
    <cellStyle name="Lien hypertexte visité" xfId="911" builtinId="9" hidden="1"/>
    <cellStyle name="Lien hypertexte visité" xfId="912" builtinId="9" hidden="1"/>
    <cellStyle name="Lien hypertexte visité" xfId="913" builtinId="9" hidden="1"/>
    <cellStyle name="Lien hypertexte visité" xfId="914" builtinId="9" hidden="1"/>
    <cellStyle name="Lien hypertexte visité" xfId="915" builtinId="9" hidden="1"/>
    <cellStyle name="Lien hypertexte visité" xfId="916" builtinId="9" hidden="1"/>
    <cellStyle name="Lien hypertexte visité" xfId="917" builtinId="9" hidden="1"/>
    <cellStyle name="Lien hypertexte visité" xfId="918" builtinId="9" hidden="1"/>
    <cellStyle name="Lien hypertexte visité" xfId="919" builtinId="9" hidden="1"/>
    <cellStyle name="Lien hypertexte visité" xfId="920" builtinId="9" hidden="1"/>
    <cellStyle name="Lien hypertexte visité" xfId="921" builtinId="9" hidden="1"/>
    <cellStyle name="Lien hypertexte visité" xfId="922" builtinId="9" hidden="1"/>
    <cellStyle name="Lien hypertexte visité" xfId="923" builtinId="9" hidden="1"/>
    <cellStyle name="Lien hypertexte visité" xfId="924" builtinId="9" hidden="1"/>
    <cellStyle name="Lien hypertexte visité" xfId="925" builtinId="9" hidden="1"/>
    <cellStyle name="Lien hypertexte visité" xfId="926" builtinId="9" hidden="1"/>
    <cellStyle name="Lien hypertexte visité" xfId="927" builtinId="9" hidden="1"/>
    <cellStyle name="Lien hypertexte visité" xfId="928" builtinId="9" hidden="1"/>
    <cellStyle name="Lien hypertexte visité" xfId="929" builtinId="9" hidden="1"/>
    <cellStyle name="Lien hypertexte visité" xfId="930" builtinId="9" hidden="1"/>
    <cellStyle name="Lien hypertexte visité" xfId="931" builtinId="9" hidden="1"/>
    <cellStyle name="Lien hypertexte visité" xfId="932" builtinId="9" hidden="1"/>
    <cellStyle name="Lien hypertexte visité" xfId="933" builtinId="9" hidden="1"/>
    <cellStyle name="Lien hypertexte visité" xfId="934" builtinId="9" hidden="1"/>
    <cellStyle name="Lien hypertexte visité" xfId="935" builtinId="9" hidden="1"/>
    <cellStyle name="Lien hypertexte visité" xfId="936" builtinId="9" hidden="1"/>
    <cellStyle name="Lien hypertexte visité" xfId="937" builtinId="9" hidden="1"/>
    <cellStyle name="Lien hypertexte visité" xfId="938" builtinId="9" hidden="1"/>
    <cellStyle name="Lien hypertexte visité" xfId="939" builtinId="9" hidden="1"/>
    <cellStyle name="Lien hypertexte visité" xfId="940" builtinId="9" hidden="1"/>
    <cellStyle name="Lien hypertexte visité" xfId="941" builtinId="9" hidden="1"/>
    <cellStyle name="Lien hypertexte visité" xfId="942" builtinId="9" hidden="1"/>
    <cellStyle name="Lien hypertexte visité" xfId="943" builtinId="9" hidden="1"/>
    <cellStyle name="Lien hypertexte visité" xfId="944" builtinId="9" hidden="1"/>
    <cellStyle name="Lien hypertexte visité" xfId="945" builtinId="9" hidden="1"/>
    <cellStyle name="Lien hypertexte visité" xfId="946" builtinId="9" hidden="1"/>
    <cellStyle name="Lien hypertexte visité" xfId="947" builtinId="9" hidden="1"/>
    <cellStyle name="Lien hypertexte visité" xfId="948" builtinId="9" hidden="1"/>
    <cellStyle name="Lien hypertexte visité" xfId="949" builtinId="9" hidden="1"/>
    <cellStyle name="Lien hypertexte visité" xfId="950" builtinId="9" hidden="1"/>
    <cellStyle name="Lien hypertexte visité" xfId="951" builtinId="9" hidden="1"/>
    <cellStyle name="Lien hypertexte visité" xfId="952" builtinId="9" hidden="1"/>
    <cellStyle name="Lien hypertexte visité" xfId="953" builtinId="9" hidden="1"/>
    <cellStyle name="Lien hypertexte visité" xfId="954" builtinId="9" hidden="1"/>
    <cellStyle name="Lien hypertexte visité" xfId="955" builtinId="9" hidden="1"/>
    <cellStyle name="Lien hypertexte visité" xfId="956" builtinId="9" hidden="1"/>
    <cellStyle name="Lien hypertexte visité" xfId="957" builtinId="9" hidden="1"/>
    <cellStyle name="Lien hypertexte visité" xfId="958" builtinId="9" hidden="1"/>
    <cellStyle name="Lien hypertexte visité" xfId="959" builtinId="9" hidden="1"/>
    <cellStyle name="Lien hypertexte visité" xfId="960" builtinId="9" hidden="1"/>
    <cellStyle name="Lien hypertexte visité" xfId="961" builtinId="9" hidden="1"/>
    <cellStyle name="Lien hypertexte visité" xfId="962" builtinId="9" hidden="1"/>
    <cellStyle name="Lien hypertexte visité" xfId="963" builtinId="9" hidden="1"/>
    <cellStyle name="Lien hypertexte visité" xfId="964" builtinId="9" hidden="1"/>
    <cellStyle name="Lien hypertexte visité" xfId="965" builtinId="9" hidden="1"/>
    <cellStyle name="Lien hypertexte visité" xfId="966" builtinId="9" hidden="1"/>
    <cellStyle name="Lien hypertexte visité" xfId="967" builtinId="9" hidden="1"/>
    <cellStyle name="Lien hypertexte visité" xfId="968" builtinId="9" hidden="1"/>
    <cellStyle name="Lien hypertexte visité" xfId="969" builtinId="9" hidden="1"/>
    <cellStyle name="Lien hypertexte visité" xfId="970" builtinId="9" hidden="1"/>
    <cellStyle name="Lien hypertexte visité" xfId="971" builtinId="9" hidden="1"/>
    <cellStyle name="Lien hypertexte visité" xfId="972" builtinId="9" hidden="1"/>
    <cellStyle name="Lien hypertexte visité" xfId="973" builtinId="9" hidden="1"/>
    <cellStyle name="Lien hypertexte visité" xfId="974" builtinId="9" hidden="1"/>
    <cellStyle name="Lien hypertexte visité" xfId="975" builtinId="9" hidden="1"/>
    <cellStyle name="Lien hypertexte visité" xfId="976" builtinId="9" hidden="1"/>
    <cellStyle name="Lien hypertexte visité" xfId="977" builtinId="9" hidden="1"/>
    <cellStyle name="Lien hypertexte visité" xfId="978" builtinId="9" hidden="1"/>
    <cellStyle name="Lien hypertexte visité" xfId="979" builtinId="9" hidden="1"/>
    <cellStyle name="Lien hypertexte visité" xfId="980" builtinId="9" hidden="1"/>
    <cellStyle name="Lien hypertexte visité" xfId="981" builtinId="9" hidden="1"/>
    <cellStyle name="Lien hypertexte visité" xfId="982" builtinId="9" hidden="1"/>
    <cellStyle name="Lien hypertexte visité" xfId="983" builtinId="9" hidden="1"/>
    <cellStyle name="Lien hypertexte visité" xfId="984" builtinId="9" hidden="1"/>
    <cellStyle name="Lien hypertexte visité" xfId="985" builtinId="9" hidden="1"/>
    <cellStyle name="Lien hypertexte visité" xfId="986" builtinId="9" hidden="1"/>
    <cellStyle name="Lien hypertexte visité" xfId="987" builtinId="9" hidden="1"/>
    <cellStyle name="Lien hypertexte visité" xfId="988" builtinId="9" hidden="1"/>
    <cellStyle name="Lien hypertexte visité" xfId="989" builtinId="9" hidden="1"/>
    <cellStyle name="Lien hypertexte visité" xfId="990" builtinId="9" hidden="1"/>
    <cellStyle name="Lien hypertexte visité" xfId="991" builtinId="9" hidden="1"/>
    <cellStyle name="Lien hypertexte visité" xfId="992" builtinId="9" hidden="1"/>
    <cellStyle name="Lien hypertexte visité" xfId="993" builtinId="9" hidden="1"/>
    <cellStyle name="Lien hypertexte visité" xfId="994" builtinId="9" hidden="1"/>
    <cellStyle name="Lien hypertexte visité" xfId="995" builtinId="9" hidden="1"/>
    <cellStyle name="Lien hypertexte visité" xfId="996" builtinId="9" hidden="1"/>
    <cellStyle name="Lien hypertexte visité" xfId="997" builtinId="9" hidden="1"/>
    <cellStyle name="Lien hypertexte visité" xfId="998" builtinId="9" hidden="1"/>
    <cellStyle name="Lien hypertexte visité" xfId="999" builtinId="9" hidden="1"/>
    <cellStyle name="Lien hypertexte visité" xfId="1000" builtinId="9" hidden="1"/>
    <cellStyle name="Lien hypertexte visité" xfId="1001" builtinId="9" hidden="1"/>
    <cellStyle name="Lien hypertexte visité" xfId="1002" builtinId="9" hidden="1"/>
    <cellStyle name="Lien hypertexte visité" xfId="1003" builtinId="9" hidden="1"/>
    <cellStyle name="Lien hypertexte visité" xfId="1004" builtinId="9" hidden="1"/>
    <cellStyle name="Lien hypertexte visité" xfId="1005" builtinId="9" hidden="1"/>
    <cellStyle name="Lien hypertexte visité" xfId="1006" builtinId="9" hidden="1"/>
    <cellStyle name="Lien hypertexte visité" xfId="1007" builtinId="9" hidden="1"/>
    <cellStyle name="Lien hypertexte visité" xfId="1008" builtinId="9" hidden="1"/>
    <cellStyle name="Lien hypertexte visité" xfId="1009" builtinId="9" hidden="1"/>
    <cellStyle name="Lien hypertexte visité" xfId="1010" builtinId="9" hidden="1"/>
    <cellStyle name="Lien hypertexte visité" xfId="1011" builtinId="9" hidden="1"/>
    <cellStyle name="Lien hypertexte visité" xfId="1012" builtinId="9" hidden="1"/>
    <cellStyle name="Lien hypertexte visité" xfId="1013" builtinId="9" hidden="1"/>
    <cellStyle name="Lien hypertexte visité" xfId="1014" builtinId="9" hidden="1"/>
    <cellStyle name="Lien hypertexte visité" xfId="1015" builtinId="9" hidden="1"/>
    <cellStyle name="Lien hypertexte visité" xfId="1016" builtinId="9" hidden="1"/>
    <cellStyle name="Lien hypertexte visité" xfId="1017" builtinId="9" hidden="1"/>
    <cellStyle name="Lien hypertexte visité" xfId="1018" builtinId="9" hidden="1"/>
    <cellStyle name="Lien hypertexte visité" xfId="1019" builtinId="9" hidden="1"/>
    <cellStyle name="Lien hypertexte visité" xfId="1020" builtinId="9" hidden="1"/>
    <cellStyle name="Lien hypertexte visité" xfId="1021" builtinId="9" hidden="1"/>
    <cellStyle name="Lien hypertexte visité" xfId="1022" builtinId="9" hidden="1"/>
    <cellStyle name="Lien hypertexte visité" xfId="1023" builtinId="9" hidden="1"/>
    <cellStyle name="Lien hypertexte visité" xfId="1024" builtinId="9" hidden="1"/>
    <cellStyle name="Lien hypertexte visité" xfId="1025" builtinId="9" hidden="1"/>
    <cellStyle name="Lien hypertexte visité" xfId="1026" builtinId="9" hidden="1"/>
    <cellStyle name="Lien hypertexte visité" xfId="1027" builtinId="9" hidden="1"/>
    <cellStyle name="Lien hypertexte visité" xfId="1028" builtinId="9" hidden="1"/>
    <cellStyle name="Lien hypertexte visité" xfId="1029" builtinId="9" hidden="1"/>
    <cellStyle name="Lien hypertexte visité" xfId="1030" builtinId="9" hidden="1"/>
    <cellStyle name="Lien hypertexte visité" xfId="1031" builtinId="9" hidden="1"/>
    <cellStyle name="Lien hypertexte visité" xfId="1032" builtinId="9" hidden="1"/>
    <cellStyle name="Lien hypertexte visité" xfId="1033" builtinId="9" hidden="1"/>
    <cellStyle name="Lien hypertexte visité" xfId="1034" builtinId="9" hidden="1"/>
    <cellStyle name="Lien hypertexte visité" xfId="1035" builtinId="9" hidden="1"/>
    <cellStyle name="Lien hypertexte visité" xfId="1036" builtinId="9" hidden="1"/>
    <cellStyle name="Lien hypertexte visité" xfId="1037" builtinId="9" hidden="1"/>
    <cellStyle name="Lien hypertexte visité" xfId="1038" builtinId="9" hidden="1"/>
    <cellStyle name="Lien hypertexte visité" xfId="1039" builtinId="9" hidden="1"/>
    <cellStyle name="Lien hypertexte visité" xfId="1040" builtinId="9" hidden="1"/>
    <cellStyle name="Lien hypertexte visité" xfId="1041" builtinId="9" hidden="1"/>
    <cellStyle name="Lien hypertexte visité" xfId="1042" builtinId="9" hidden="1"/>
    <cellStyle name="Lien hypertexte visité" xfId="1043" builtinId="9" hidden="1"/>
    <cellStyle name="Lien hypertexte visité" xfId="1044" builtinId="9" hidden="1"/>
    <cellStyle name="Lien hypertexte visité" xfId="1045" builtinId="9" hidden="1"/>
    <cellStyle name="Lien hypertexte visité" xfId="1046" builtinId="9" hidden="1"/>
    <cellStyle name="Lien hypertexte visité" xfId="1047" builtinId="9" hidden="1"/>
    <cellStyle name="Lien hypertexte visité" xfId="1048" builtinId="9" hidden="1"/>
    <cellStyle name="Lien hypertexte visité" xfId="1049" builtinId="9" hidden="1"/>
    <cellStyle name="Lien hypertexte visité" xfId="1050" builtinId="9" hidden="1"/>
    <cellStyle name="Lien hypertexte visité" xfId="1051" builtinId="9" hidden="1"/>
    <cellStyle name="Lien hypertexte visité" xfId="1052" builtinId="9" hidden="1"/>
    <cellStyle name="Lien hypertexte visité" xfId="1053" builtinId="9" hidden="1"/>
    <cellStyle name="Lien hypertexte visité" xfId="1054" builtinId="9" hidden="1"/>
    <cellStyle name="Lien hypertexte visité" xfId="1055" builtinId="9" hidden="1"/>
    <cellStyle name="Lien hypertexte visité" xfId="1056" builtinId="9" hidden="1"/>
    <cellStyle name="Lien hypertexte visité" xfId="1057" builtinId="9" hidden="1"/>
    <cellStyle name="Lien hypertexte visité" xfId="1058" builtinId="9" hidden="1"/>
    <cellStyle name="Lien hypertexte visité" xfId="1059" builtinId="9" hidden="1"/>
    <cellStyle name="Lien hypertexte visité" xfId="1060" builtinId="9" hidden="1"/>
    <cellStyle name="Lien hypertexte visité" xfId="1061" builtinId="9" hidden="1"/>
    <cellStyle name="Lien hypertexte visité" xfId="1062" builtinId="9" hidden="1"/>
    <cellStyle name="Lien hypertexte visité" xfId="1063" builtinId="9" hidden="1"/>
    <cellStyle name="Lien hypertexte visité" xfId="1064" builtinId="9" hidden="1"/>
    <cellStyle name="Lien hypertexte visité" xfId="1065" builtinId="9" hidden="1"/>
    <cellStyle name="Lien hypertexte visité" xfId="1066" builtinId="9" hidden="1"/>
    <cellStyle name="Lien hypertexte visité" xfId="1067" builtinId="9" hidden="1"/>
    <cellStyle name="Lien hypertexte visité" xfId="1068" builtinId="9" hidden="1"/>
    <cellStyle name="Lien hypertexte visité" xfId="1069" builtinId="9" hidden="1"/>
    <cellStyle name="Lien hypertexte visité" xfId="1070" builtinId="9" hidden="1"/>
    <cellStyle name="Lien hypertexte visité" xfId="1071" builtinId="9" hidden="1"/>
    <cellStyle name="Lien hypertexte visité" xfId="1072" builtinId="9" hidden="1"/>
    <cellStyle name="Lien hypertexte visité" xfId="1073" builtinId="9" hidden="1"/>
    <cellStyle name="Lien hypertexte visité" xfId="1074" builtinId="9" hidden="1"/>
    <cellStyle name="Lien hypertexte visité" xfId="1075" builtinId="9" hidden="1"/>
    <cellStyle name="Lien hypertexte visité" xfId="1076" builtinId="9" hidden="1"/>
    <cellStyle name="Lien hypertexte visité" xfId="1077" builtinId="9" hidden="1"/>
    <cellStyle name="Lien hypertexte visité" xfId="1078" builtinId="9" hidden="1"/>
    <cellStyle name="Lien hypertexte visité" xfId="1079" builtinId="9" hidden="1"/>
    <cellStyle name="Lien hypertexte visité" xfId="1080" builtinId="9" hidden="1"/>
    <cellStyle name="Lien hypertexte visité" xfId="1081" builtinId="9" hidden="1"/>
    <cellStyle name="Lien hypertexte visité" xfId="1082" builtinId="9" hidden="1"/>
    <cellStyle name="Lien hypertexte visité" xfId="1083" builtinId="9" hidden="1"/>
    <cellStyle name="Lien hypertexte visité" xfId="1084" builtinId="9" hidden="1"/>
    <cellStyle name="Lien hypertexte visité" xfId="1085" builtinId="9" hidden="1"/>
    <cellStyle name="Lien hypertexte visité" xfId="1086" builtinId="9" hidden="1"/>
    <cellStyle name="Lien hypertexte visité" xfId="1087" builtinId="9" hidden="1"/>
    <cellStyle name="Lien hypertexte visité" xfId="1088" builtinId="9" hidden="1"/>
    <cellStyle name="Lien hypertexte visité" xfId="1089" builtinId="9" hidden="1"/>
    <cellStyle name="Lien hypertexte visité" xfId="1090" builtinId="9" hidden="1"/>
    <cellStyle name="Lien hypertexte visité" xfId="1091" builtinId="9" hidden="1"/>
    <cellStyle name="Lien hypertexte visité" xfId="1092" builtinId="9" hidden="1"/>
    <cellStyle name="Lien hypertexte visité" xfId="1093" builtinId="9" hidden="1"/>
    <cellStyle name="Lien hypertexte visité" xfId="1094" builtinId="9" hidden="1"/>
    <cellStyle name="Lien hypertexte visité" xfId="1095" builtinId="9" hidden="1"/>
    <cellStyle name="Lien hypertexte visité" xfId="1096" builtinId="9" hidden="1"/>
    <cellStyle name="Lien hypertexte visité" xfId="1097" builtinId="9" hidden="1"/>
    <cellStyle name="Lien hypertexte visité" xfId="1098" builtinId="9" hidden="1"/>
    <cellStyle name="Lien hypertexte visité" xfId="1099" builtinId="9" hidden="1"/>
    <cellStyle name="Lien hypertexte visité" xfId="1100" builtinId="9" hidden="1"/>
    <cellStyle name="Lien hypertexte visité" xfId="1101" builtinId="9" hidden="1"/>
    <cellStyle name="Lien hypertexte visité" xfId="1102" builtinId="9" hidden="1"/>
    <cellStyle name="Lien hypertexte visité" xfId="1103" builtinId="9" hidden="1"/>
    <cellStyle name="Lien hypertexte visité" xfId="1104" builtinId="9" hidden="1"/>
    <cellStyle name="Lien hypertexte visité" xfId="1105" builtinId="9" hidden="1"/>
    <cellStyle name="Lien hypertexte visité" xfId="1106" builtinId="9" hidden="1"/>
    <cellStyle name="Lien hypertexte visité" xfId="1107" builtinId="9" hidden="1"/>
    <cellStyle name="Lien hypertexte visité" xfId="1108" builtinId="9" hidden="1"/>
    <cellStyle name="Lien hypertexte visité" xfId="1109" builtinId="9" hidden="1"/>
    <cellStyle name="Lien hypertexte visité" xfId="1110" builtinId="9" hidden="1"/>
    <cellStyle name="Lien hypertexte visité" xfId="1111" builtinId="9" hidden="1"/>
    <cellStyle name="Lien hypertexte visité" xfId="1112" builtinId="9" hidden="1"/>
    <cellStyle name="Lien hypertexte visité" xfId="1113" builtinId="9" hidden="1"/>
    <cellStyle name="Lien hypertexte visité" xfId="1114" builtinId="9" hidden="1"/>
    <cellStyle name="Lien hypertexte visité" xfId="1115" builtinId="9" hidden="1"/>
    <cellStyle name="Lien hypertexte visité" xfId="1116" builtinId="9" hidden="1"/>
    <cellStyle name="Lien hypertexte visité" xfId="1117" builtinId="9" hidden="1"/>
    <cellStyle name="Lien hypertexte visité" xfId="1118" builtinId="9" hidden="1"/>
    <cellStyle name="Lien hypertexte visité" xfId="1119" builtinId="9" hidden="1"/>
    <cellStyle name="Lien hypertexte visité" xfId="1120" builtinId="9" hidden="1"/>
    <cellStyle name="Lien hypertexte visité" xfId="1121" builtinId="9" hidden="1"/>
    <cellStyle name="Lien hypertexte visité" xfId="1122" builtinId="9" hidden="1"/>
    <cellStyle name="Lien hypertexte visité" xfId="1123" builtinId="9" hidden="1"/>
    <cellStyle name="Lien hypertexte visité" xfId="1124" builtinId="9" hidden="1"/>
    <cellStyle name="Lien hypertexte visité" xfId="1125" builtinId="9" hidden="1"/>
    <cellStyle name="Lien hypertexte visité" xfId="1126" builtinId="9" hidden="1"/>
    <cellStyle name="Lien hypertexte visité" xfId="1127" builtinId="9" hidden="1"/>
    <cellStyle name="Lien hypertexte visité" xfId="1128" builtinId="9" hidden="1"/>
    <cellStyle name="Lien hypertexte visité" xfId="1129" builtinId="9" hidden="1"/>
    <cellStyle name="Lien hypertexte visité" xfId="1130" builtinId="9" hidden="1"/>
    <cellStyle name="Lien hypertexte visité" xfId="1131" builtinId="9" hidden="1"/>
    <cellStyle name="Lien hypertexte visité" xfId="1132" builtinId="9" hidden="1"/>
    <cellStyle name="Lien hypertexte visité" xfId="1133" builtinId="9" hidden="1"/>
    <cellStyle name="Lien hypertexte visité" xfId="1134" builtinId="9" hidden="1"/>
    <cellStyle name="Lien hypertexte visité" xfId="1135" builtinId="9" hidden="1"/>
    <cellStyle name="Lien hypertexte visité" xfId="1136" builtinId="9" hidden="1"/>
    <cellStyle name="Lien hypertexte visité" xfId="1137" builtinId="9" hidden="1"/>
    <cellStyle name="Lien hypertexte visité" xfId="1138" builtinId="9" hidden="1"/>
    <cellStyle name="Lien hypertexte visité" xfId="1139" builtinId="9" hidden="1"/>
    <cellStyle name="Lien hypertexte visité" xfId="1140" builtinId="9" hidden="1"/>
    <cellStyle name="Lien hypertexte visité" xfId="1141" builtinId="9" hidden="1"/>
    <cellStyle name="Lien hypertexte visité" xfId="1142" builtinId="9" hidden="1"/>
    <cellStyle name="Lien hypertexte visité" xfId="1143" builtinId="9" hidden="1"/>
    <cellStyle name="Lien hypertexte visité" xfId="1144" builtinId="9" hidden="1"/>
    <cellStyle name="Lien hypertexte visité" xfId="1145" builtinId="9" hidden="1"/>
    <cellStyle name="Lien hypertexte visité" xfId="1146" builtinId="9" hidden="1"/>
    <cellStyle name="Lien hypertexte visité" xfId="1147" builtinId="9" hidden="1"/>
    <cellStyle name="Lien hypertexte visité" xfId="1148" builtinId="9" hidden="1"/>
    <cellStyle name="Lien hypertexte visité" xfId="1149" builtinId="9" hidden="1"/>
    <cellStyle name="Lien hypertexte visité" xfId="1150" builtinId="9" hidden="1"/>
    <cellStyle name="Lien hypertexte visité" xfId="1151" builtinId="9" hidden="1"/>
    <cellStyle name="Lien hypertexte visité" xfId="1152" builtinId="9" hidden="1"/>
    <cellStyle name="Lien hypertexte visité" xfId="1153" builtinId="9" hidden="1"/>
    <cellStyle name="Lien hypertexte visité" xfId="1154" builtinId="9" hidden="1"/>
    <cellStyle name="Lien hypertexte visité" xfId="1155" builtinId="9" hidden="1"/>
    <cellStyle name="Lien hypertexte visité" xfId="1156" builtinId="9" hidden="1"/>
    <cellStyle name="Lien hypertexte visité" xfId="1157" builtinId="9" hidden="1"/>
    <cellStyle name="Lien hypertexte visité" xfId="1158" builtinId="9" hidden="1"/>
    <cellStyle name="Lien hypertexte visité" xfId="1159" builtinId="9" hidden="1"/>
    <cellStyle name="Lien hypertexte visité" xfId="1160" builtinId="9" hidden="1"/>
    <cellStyle name="Lien hypertexte visité" xfId="1161" builtinId="9" hidden="1"/>
    <cellStyle name="Lien hypertexte visité" xfId="1162" builtinId="9" hidden="1"/>
    <cellStyle name="Lien hypertexte visité" xfId="1163" builtinId="9" hidden="1"/>
    <cellStyle name="Lien hypertexte visité" xfId="1164" builtinId="9" hidden="1"/>
    <cellStyle name="Lien hypertexte visité" xfId="1165" builtinId="9" hidden="1"/>
    <cellStyle name="Lien hypertexte visité" xfId="1166" builtinId="9" hidden="1"/>
    <cellStyle name="Lien hypertexte visité" xfId="1167" builtinId="9" hidden="1"/>
    <cellStyle name="Lien hypertexte visité" xfId="1168" builtinId="9" hidden="1"/>
    <cellStyle name="Lien hypertexte visité" xfId="1169" builtinId="9" hidden="1"/>
    <cellStyle name="Lien hypertexte visité" xfId="1170" builtinId="9" hidden="1"/>
    <cellStyle name="Lien hypertexte visité" xfId="1171" builtinId="9" hidden="1"/>
    <cellStyle name="Lien hypertexte visité" xfId="1172" builtinId="9" hidden="1"/>
    <cellStyle name="Lien hypertexte visité" xfId="1173" builtinId="9" hidden="1"/>
    <cellStyle name="Lien hypertexte visité" xfId="1174" builtinId="9" hidden="1"/>
    <cellStyle name="Lien hypertexte visité" xfId="1175" builtinId="9" hidden="1"/>
    <cellStyle name="Lien hypertexte visité" xfId="1176" builtinId="9" hidden="1"/>
    <cellStyle name="Lien hypertexte visité" xfId="1177" builtinId="9" hidden="1"/>
    <cellStyle name="Lien hypertexte visité" xfId="1178" builtinId="9" hidden="1"/>
    <cellStyle name="Lien hypertexte visité" xfId="1179" builtinId="9" hidden="1"/>
    <cellStyle name="Lien hypertexte visité" xfId="1180" builtinId="9" hidden="1"/>
    <cellStyle name="Lien hypertexte visité" xfId="1181" builtinId="9" hidden="1"/>
    <cellStyle name="Lien hypertexte visité" xfId="1182" builtinId="9" hidden="1"/>
    <cellStyle name="Lien hypertexte visité" xfId="1183" builtinId="9" hidden="1"/>
    <cellStyle name="Lien hypertexte visité" xfId="1184" builtinId="9" hidden="1"/>
    <cellStyle name="Lien hypertexte visité" xfId="1185" builtinId="9" hidden="1"/>
    <cellStyle name="Lien hypertexte visité" xfId="1186" builtinId="9" hidden="1"/>
    <cellStyle name="Lien hypertexte visité" xfId="1187" builtinId="9" hidden="1"/>
    <cellStyle name="Lien hypertexte visité" xfId="1188" builtinId="9" hidden="1"/>
    <cellStyle name="Lien hypertexte visité" xfId="1189" builtinId="9" hidden="1"/>
    <cellStyle name="Lien hypertexte visité" xfId="1190" builtinId="9" hidden="1"/>
    <cellStyle name="Lien hypertexte visité" xfId="1191" builtinId="9" hidden="1"/>
    <cellStyle name="Lien hypertexte visité" xfId="1192" builtinId="9" hidden="1"/>
    <cellStyle name="Lien hypertexte visité" xfId="1193" builtinId="9" hidden="1"/>
    <cellStyle name="Lien hypertexte visité" xfId="1194" builtinId="9" hidden="1"/>
    <cellStyle name="Lien hypertexte visité" xfId="1195" builtinId="9" hidden="1"/>
    <cellStyle name="Lien hypertexte visité" xfId="1196" builtinId="9" hidden="1"/>
    <cellStyle name="Lien hypertexte visité" xfId="1197" builtinId="9" hidden="1"/>
    <cellStyle name="Lien hypertexte visité" xfId="1198" builtinId="9" hidden="1"/>
    <cellStyle name="Lien hypertexte visité" xfId="1199" builtinId="9" hidden="1"/>
    <cellStyle name="Lien hypertexte visité" xfId="1200" builtinId="9" hidden="1"/>
    <cellStyle name="Lien hypertexte visité" xfId="1201" builtinId="9" hidden="1"/>
    <cellStyle name="Lien hypertexte visité" xfId="1202" builtinId="9" hidden="1"/>
    <cellStyle name="Lien hypertexte visité" xfId="1203" builtinId="9" hidden="1"/>
    <cellStyle name="Lien hypertexte visité" xfId="1204" builtinId="9" hidden="1"/>
    <cellStyle name="Lien hypertexte visité" xfId="1205" builtinId="9" hidden="1"/>
    <cellStyle name="Lien hypertexte visité" xfId="1206" builtinId="9" hidden="1"/>
    <cellStyle name="Lien hypertexte visité" xfId="1207" builtinId="9" hidden="1"/>
    <cellStyle name="Lien hypertexte visité" xfId="1208" builtinId="9" hidden="1"/>
    <cellStyle name="Lien hypertexte visité" xfId="1209" builtinId="9" hidden="1"/>
    <cellStyle name="Lien hypertexte visité" xfId="1210" builtinId="9" hidden="1"/>
    <cellStyle name="Lien hypertexte visité" xfId="1211" builtinId="9" hidden="1"/>
    <cellStyle name="Lien hypertexte visité" xfId="1212" builtinId="9" hidden="1"/>
    <cellStyle name="Lien hypertexte visité" xfId="1213" builtinId="9" hidden="1"/>
    <cellStyle name="Lien hypertexte visité" xfId="1214" builtinId="9" hidden="1"/>
    <cellStyle name="Lien hypertexte visité" xfId="1215" builtinId="9" hidden="1"/>
    <cellStyle name="Lien hypertexte visité" xfId="1216" builtinId="9" hidden="1"/>
    <cellStyle name="Lien hypertexte visité" xfId="1217" builtinId="9" hidden="1"/>
    <cellStyle name="Lien hypertexte visité" xfId="1218" builtinId="9" hidden="1"/>
    <cellStyle name="Lien hypertexte visité" xfId="1219" builtinId="9" hidden="1"/>
    <cellStyle name="Lien hypertexte visité" xfId="1220" builtinId="9" hidden="1"/>
    <cellStyle name="Lien hypertexte visité" xfId="1221" builtinId="9" hidden="1"/>
    <cellStyle name="Lien hypertexte visité" xfId="1222" builtinId="9" hidden="1"/>
    <cellStyle name="Lien hypertexte visité" xfId="1223" builtinId="9" hidden="1"/>
    <cellStyle name="Lien hypertexte visité" xfId="1224" builtinId="9" hidden="1"/>
    <cellStyle name="Lien hypertexte visité" xfId="1225" builtinId="9" hidden="1"/>
    <cellStyle name="Lien hypertexte visité" xfId="1226" builtinId="9" hidden="1"/>
    <cellStyle name="Lien hypertexte visité" xfId="1227" builtinId="9" hidden="1"/>
    <cellStyle name="Lien hypertexte visité" xfId="1228" builtinId="9" hidden="1"/>
    <cellStyle name="Lien hypertexte visité" xfId="1229" builtinId="9" hidden="1"/>
    <cellStyle name="Lien hypertexte visité" xfId="1230" builtinId="9" hidden="1"/>
    <cellStyle name="Lien hypertexte visité" xfId="1231" builtinId="9" hidden="1"/>
    <cellStyle name="Lien hypertexte visité" xfId="1232" builtinId="9" hidden="1"/>
    <cellStyle name="Lien hypertexte visité" xfId="1233" builtinId="9" hidden="1"/>
    <cellStyle name="Lien hypertexte visité" xfId="1234" builtinId="9" hidden="1"/>
    <cellStyle name="Lien hypertexte visité" xfId="1235" builtinId="9" hidden="1"/>
    <cellStyle name="Lien hypertexte visité" xfId="1236" builtinId="9" hidden="1"/>
    <cellStyle name="Lien hypertexte visité" xfId="1237" builtinId="9" hidden="1"/>
    <cellStyle name="Lien hypertexte visité" xfId="1238" builtinId="9" hidden="1"/>
    <cellStyle name="Lien hypertexte visité" xfId="1239" builtinId="9" hidden="1"/>
    <cellStyle name="Lien hypertexte visité" xfId="1240" builtinId="9" hidden="1"/>
    <cellStyle name="Lien hypertexte visité" xfId="1241" builtinId="9" hidden="1"/>
    <cellStyle name="Lien hypertexte visité" xfId="1242" builtinId="9" hidden="1"/>
    <cellStyle name="Lien hypertexte visité" xfId="1243" builtinId="9" hidden="1"/>
    <cellStyle name="Lien hypertexte visité" xfId="1244" builtinId="9" hidden="1"/>
    <cellStyle name="Lien hypertexte visité" xfId="1245" builtinId="9" hidden="1"/>
    <cellStyle name="Lien hypertexte visité" xfId="1246" builtinId="9" hidden="1"/>
    <cellStyle name="Lien hypertexte visité" xfId="1247" builtinId="9" hidden="1"/>
    <cellStyle name="Lien hypertexte visité" xfId="1248" builtinId="9" hidden="1"/>
    <cellStyle name="Lien hypertexte visité" xfId="1249" builtinId="9" hidden="1"/>
    <cellStyle name="Lien hypertexte visité" xfId="1250" builtinId="9" hidden="1"/>
    <cellStyle name="Lien hypertexte visité" xfId="1251" builtinId="9" hidden="1"/>
    <cellStyle name="Lien hypertexte visité" xfId="1252" builtinId="9" hidden="1"/>
    <cellStyle name="Lien hypertexte visité" xfId="1253" builtinId="9" hidden="1"/>
    <cellStyle name="Lien hypertexte visité" xfId="1254" builtinId="9" hidden="1"/>
    <cellStyle name="Lien hypertexte visité" xfId="1255" builtinId="9" hidden="1"/>
    <cellStyle name="Lien hypertexte visité" xfId="1256" builtinId="9" hidden="1"/>
    <cellStyle name="Lien hypertexte visité" xfId="1257" builtinId="9" hidden="1"/>
    <cellStyle name="Lien hypertexte visité" xfId="1258" builtinId="9" hidden="1"/>
    <cellStyle name="Lien hypertexte visité" xfId="1259" builtinId="9" hidden="1"/>
    <cellStyle name="Lien hypertexte visité" xfId="1260" builtinId="9" hidden="1"/>
    <cellStyle name="Lien hypertexte visité" xfId="1261" builtinId="9" hidden="1"/>
    <cellStyle name="Lien hypertexte visité" xfId="1262" builtinId="9" hidden="1"/>
    <cellStyle name="Lien hypertexte visité" xfId="1263" builtinId="9" hidden="1"/>
    <cellStyle name="Lien hypertexte visité" xfId="1264" builtinId="9" hidden="1"/>
    <cellStyle name="Lien hypertexte visité" xfId="1265" builtinId="9" hidden="1"/>
    <cellStyle name="Lien hypertexte visité" xfId="1266" builtinId="9" hidden="1"/>
    <cellStyle name="Lien hypertexte visité" xfId="1267" builtinId="9" hidden="1"/>
    <cellStyle name="Lien hypertexte visité" xfId="1268" builtinId="9" hidden="1"/>
    <cellStyle name="Lien hypertexte visité" xfId="1269" builtinId="9" hidden="1"/>
    <cellStyle name="Lien hypertexte visité" xfId="1270" builtinId="9" hidden="1"/>
    <cellStyle name="Lien hypertexte visité" xfId="1271" builtinId="9" hidden="1"/>
    <cellStyle name="Lien hypertexte visité" xfId="1272" builtinId="9" hidden="1"/>
    <cellStyle name="Lien hypertexte visité" xfId="1273" builtinId="9" hidden="1"/>
    <cellStyle name="Lien hypertexte visité" xfId="1274" builtinId="9" hidden="1"/>
    <cellStyle name="Lien hypertexte visité" xfId="1275" builtinId="9" hidden="1"/>
    <cellStyle name="Lien hypertexte visité" xfId="1276" builtinId="9" hidden="1"/>
    <cellStyle name="Lien hypertexte visité" xfId="1277" builtinId="9" hidden="1"/>
    <cellStyle name="Lien hypertexte visité" xfId="1278" builtinId="9" hidden="1"/>
    <cellStyle name="Lien hypertexte visité" xfId="1279" builtinId="9" hidden="1"/>
    <cellStyle name="Lien hypertexte visité" xfId="1280" builtinId="9" hidden="1"/>
    <cellStyle name="Lien hypertexte visité" xfId="1281" builtinId="9" hidden="1"/>
    <cellStyle name="Lien hypertexte visité" xfId="1282" builtinId="9" hidden="1"/>
    <cellStyle name="Lien hypertexte visité" xfId="1283" builtinId="9" hidden="1"/>
    <cellStyle name="Lien hypertexte visité" xfId="1284" builtinId="9" hidden="1"/>
    <cellStyle name="Lien hypertexte visité" xfId="1285" builtinId="9" hidden="1"/>
    <cellStyle name="Lien hypertexte visité" xfId="1286" builtinId="9" hidden="1"/>
    <cellStyle name="Lien hypertexte visité" xfId="1287" builtinId="9" hidden="1"/>
    <cellStyle name="Lien hypertexte visité" xfId="1288" builtinId="9" hidden="1"/>
    <cellStyle name="Lien hypertexte visité" xfId="1289" builtinId="9" hidden="1"/>
    <cellStyle name="Lien hypertexte visité" xfId="1290" builtinId="9" hidden="1"/>
    <cellStyle name="Lien hypertexte visité" xfId="1291" builtinId="9" hidden="1"/>
    <cellStyle name="Lien hypertexte visité" xfId="1292" builtinId="9" hidden="1"/>
    <cellStyle name="Lien hypertexte visité" xfId="1293" builtinId="9" hidden="1"/>
    <cellStyle name="Lien hypertexte visité" xfId="1294" builtinId="9" hidden="1"/>
    <cellStyle name="Lien hypertexte visité" xfId="1295" builtinId="9" hidden="1"/>
    <cellStyle name="Lien hypertexte visité" xfId="1296" builtinId="9" hidden="1"/>
    <cellStyle name="Lien hypertexte visité" xfId="1297" builtinId="9" hidden="1"/>
    <cellStyle name="Lien hypertexte visité" xfId="1298" builtinId="9" hidden="1"/>
    <cellStyle name="Lien hypertexte visité" xfId="1299" builtinId="9" hidden="1"/>
    <cellStyle name="Lien hypertexte visité" xfId="1300" builtinId="9" hidden="1"/>
    <cellStyle name="Lien hypertexte visité" xfId="1301" builtinId="9" hidden="1"/>
    <cellStyle name="Lien hypertexte visité" xfId="1302" builtinId="9" hidden="1"/>
    <cellStyle name="Lien hypertexte visité" xfId="1303" builtinId="9" hidden="1"/>
    <cellStyle name="Lien hypertexte visité" xfId="1304" builtinId="9" hidden="1"/>
    <cellStyle name="Lien hypertexte visité" xfId="1305" builtinId="9" hidden="1"/>
    <cellStyle name="Lien hypertexte visité" xfId="1306" builtinId="9" hidden="1"/>
    <cellStyle name="Lien hypertexte visité" xfId="1307" builtinId="9" hidden="1"/>
    <cellStyle name="Lien hypertexte visité" xfId="1308" builtinId="9" hidden="1"/>
    <cellStyle name="Lien hypertexte visité" xfId="1309" builtinId="9" hidden="1"/>
    <cellStyle name="Lien hypertexte visité" xfId="1310" builtinId="9" hidden="1"/>
    <cellStyle name="Lien hypertexte visité" xfId="1311" builtinId="9" hidden="1"/>
    <cellStyle name="Lien hypertexte visité" xfId="1312" builtinId="9" hidden="1"/>
    <cellStyle name="Lien hypertexte visité" xfId="1313" builtinId="9" hidden="1"/>
    <cellStyle name="Lien hypertexte visité" xfId="1314" builtinId="9" hidden="1"/>
    <cellStyle name="Lien hypertexte visité" xfId="1315" builtinId="9" hidden="1"/>
    <cellStyle name="Lien hypertexte visité" xfId="1316" builtinId="9" hidden="1"/>
    <cellStyle name="Lien hypertexte visité" xfId="1317" builtinId="9" hidden="1"/>
    <cellStyle name="Lien hypertexte visité" xfId="1318" builtinId="9" hidden="1"/>
    <cellStyle name="Lien hypertexte visité" xfId="1319" builtinId="9" hidden="1"/>
    <cellStyle name="Lien hypertexte visité" xfId="1320" builtinId="9" hidden="1"/>
    <cellStyle name="Lien hypertexte visité" xfId="1321" builtinId="9" hidden="1"/>
    <cellStyle name="Lien hypertexte visité" xfId="1322" builtinId="9" hidden="1"/>
    <cellStyle name="Lien hypertexte visité" xfId="1323" builtinId="9" hidden="1"/>
    <cellStyle name="Lien hypertexte visité" xfId="1324" builtinId="9" hidden="1"/>
    <cellStyle name="Lien hypertexte visité" xfId="1325" builtinId="9" hidden="1"/>
    <cellStyle name="Lien hypertexte visité" xfId="1326" builtinId="9" hidden="1"/>
    <cellStyle name="Lien hypertexte visité" xfId="1327" builtinId="9" hidden="1"/>
    <cellStyle name="Lien hypertexte visité" xfId="1328" builtinId="9" hidden="1"/>
    <cellStyle name="Lien hypertexte visité" xfId="1329" builtinId="9" hidden="1"/>
    <cellStyle name="Lien hypertexte visité" xfId="1330" builtinId="9" hidden="1"/>
    <cellStyle name="Lien hypertexte visité" xfId="1331" builtinId="9" hidden="1"/>
    <cellStyle name="Lien hypertexte visité" xfId="1332" builtinId="9" hidden="1"/>
    <cellStyle name="Lien hypertexte visité" xfId="1333" builtinId="9" hidden="1"/>
    <cellStyle name="Lien hypertexte visité" xfId="1334" builtinId="9" hidden="1"/>
    <cellStyle name="Lien hypertexte visité" xfId="1335" builtinId="9" hidden="1"/>
    <cellStyle name="Lien hypertexte visité" xfId="1336" builtinId="9" hidden="1"/>
    <cellStyle name="Lien hypertexte visité" xfId="1337" builtinId="9" hidden="1"/>
    <cellStyle name="Lien hypertexte visité" xfId="1338" builtinId="9" hidden="1"/>
    <cellStyle name="Lien hypertexte visité" xfId="1339" builtinId="9" hidden="1"/>
    <cellStyle name="Lien hypertexte visité" xfId="1340" builtinId="9" hidden="1"/>
    <cellStyle name="Lien hypertexte visité" xfId="1341" builtinId="9" hidden="1"/>
    <cellStyle name="Lien hypertexte visité" xfId="1342" builtinId="9" hidden="1"/>
    <cellStyle name="Lien hypertexte visité" xfId="1343" builtinId="9" hidden="1"/>
    <cellStyle name="Lien hypertexte visité" xfId="1344" builtinId="9" hidden="1"/>
    <cellStyle name="Lien hypertexte visité" xfId="1345" builtinId="9" hidden="1"/>
    <cellStyle name="Lien hypertexte visité" xfId="1346" builtinId="9" hidden="1"/>
    <cellStyle name="Lien hypertexte visité" xfId="1347" builtinId="9" hidden="1"/>
    <cellStyle name="Lien hypertexte visité" xfId="1348" builtinId="9" hidden="1"/>
    <cellStyle name="Lien hypertexte visité" xfId="1349" builtinId="9" hidden="1"/>
    <cellStyle name="Lien hypertexte visité" xfId="1350" builtinId="9" hidden="1"/>
    <cellStyle name="Lien hypertexte visité" xfId="1351" builtinId="9" hidden="1"/>
    <cellStyle name="Lien hypertexte visité" xfId="1352" builtinId="9" hidden="1"/>
    <cellStyle name="Lien hypertexte visité" xfId="1353" builtinId="9" hidden="1"/>
    <cellStyle name="Lien hypertexte visité" xfId="1354" builtinId="9" hidden="1"/>
    <cellStyle name="Lien hypertexte visité" xfId="1355" builtinId="9" hidden="1"/>
    <cellStyle name="Lien hypertexte visité" xfId="1356" builtinId="9" hidden="1"/>
    <cellStyle name="Lien hypertexte visité" xfId="1357" builtinId="9" hidden="1"/>
    <cellStyle name="Lien hypertexte visité" xfId="1358" builtinId="9" hidden="1"/>
    <cellStyle name="Lien hypertexte visité" xfId="1359" builtinId="9" hidden="1"/>
    <cellStyle name="Lien hypertexte visité" xfId="1360" builtinId="9" hidden="1"/>
    <cellStyle name="Lien hypertexte visité" xfId="1361" builtinId="9" hidden="1"/>
    <cellStyle name="Lien hypertexte visité" xfId="1362" builtinId="9" hidden="1"/>
    <cellStyle name="Lien hypertexte visité" xfId="1363" builtinId="9" hidden="1"/>
    <cellStyle name="Lien hypertexte visité" xfId="1364" builtinId="9" hidden="1"/>
    <cellStyle name="Lien hypertexte visité" xfId="1365" builtinId="9" hidden="1"/>
    <cellStyle name="Lien hypertexte visité" xfId="1366" builtinId="9" hidden="1"/>
    <cellStyle name="Lien hypertexte visité" xfId="1367" builtinId="9" hidden="1"/>
    <cellStyle name="Lien hypertexte visité" xfId="1368" builtinId="9" hidden="1"/>
    <cellStyle name="Lien hypertexte visité" xfId="1369" builtinId="9" hidden="1"/>
    <cellStyle name="Lien hypertexte visité" xfId="1370" builtinId="9" hidden="1"/>
    <cellStyle name="Lien hypertexte visité" xfId="1371" builtinId="9" hidden="1"/>
    <cellStyle name="Lien hypertexte visité" xfId="1372" builtinId="9" hidden="1"/>
    <cellStyle name="Lien hypertexte visité" xfId="1373" builtinId="9" hidden="1"/>
    <cellStyle name="Lien hypertexte visité" xfId="1374" builtinId="9" hidden="1"/>
    <cellStyle name="Lien hypertexte visité" xfId="1375" builtinId="9" hidden="1"/>
    <cellStyle name="Lien hypertexte visité" xfId="1376" builtinId="9" hidden="1"/>
    <cellStyle name="Lien hypertexte visité" xfId="1377" builtinId="9" hidden="1"/>
    <cellStyle name="Lien hypertexte visité" xfId="1378" builtinId="9" hidden="1"/>
    <cellStyle name="Lien hypertexte visité" xfId="1379" builtinId="9" hidden="1"/>
    <cellStyle name="Lien hypertexte visité" xfId="1380" builtinId="9" hidden="1"/>
    <cellStyle name="Lien hypertexte visité" xfId="1381" builtinId="9" hidden="1"/>
    <cellStyle name="Lien hypertexte visité" xfId="1382" builtinId="9" hidden="1"/>
    <cellStyle name="Lien hypertexte visité" xfId="1383" builtinId="9" hidden="1"/>
    <cellStyle name="Lien hypertexte visité" xfId="1384" builtinId="9" hidden="1"/>
    <cellStyle name="Lien hypertexte visité" xfId="1385" builtinId="9" hidden="1"/>
    <cellStyle name="Lien hypertexte visité" xfId="1386" builtinId="9" hidden="1"/>
    <cellStyle name="Lien hypertexte visité" xfId="1387" builtinId="9" hidden="1"/>
    <cellStyle name="Lien hypertexte visité" xfId="1388" builtinId="9" hidden="1"/>
    <cellStyle name="Lien hypertexte visité" xfId="1389" builtinId="9" hidden="1"/>
    <cellStyle name="Lien hypertexte visité" xfId="1390" builtinId="9" hidden="1"/>
    <cellStyle name="Lien hypertexte visité" xfId="1391" builtinId="9" hidden="1"/>
    <cellStyle name="Lien hypertexte visité" xfId="1392" builtinId="9" hidden="1"/>
    <cellStyle name="Lien hypertexte visité" xfId="1393" builtinId="9" hidden="1"/>
    <cellStyle name="Lien hypertexte visité" xfId="1394" builtinId="9" hidden="1"/>
    <cellStyle name="Lien hypertexte visité" xfId="1395" builtinId="9" hidden="1"/>
    <cellStyle name="Lien hypertexte visité" xfId="1396" builtinId="9" hidden="1"/>
    <cellStyle name="Lien hypertexte visité" xfId="1397" builtinId="9" hidden="1"/>
    <cellStyle name="Lien hypertexte visité" xfId="1398" builtinId="9" hidden="1"/>
    <cellStyle name="Lien hypertexte visité" xfId="1399" builtinId="9" hidden="1"/>
    <cellStyle name="Lien hypertexte visité" xfId="1400" builtinId="9" hidden="1"/>
    <cellStyle name="Lien hypertexte visité" xfId="1401" builtinId="9" hidden="1"/>
    <cellStyle name="Lien hypertexte visité" xfId="1402" builtinId="9" hidden="1"/>
    <cellStyle name="Lien hypertexte visité" xfId="1403" builtinId="9" hidden="1"/>
    <cellStyle name="Lien hypertexte visité" xfId="1404" builtinId="9" hidden="1"/>
    <cellStyle name="Lien hypertexte visité" xfId="1405" builtinId="9" hidden="1"/>
    <cellStyle name="Lien hypertexte visité" xfId="1406" builtinId="9" hidden="1"/>
    <cellStyle name="Lien hypertexte visité" xfId="1407" builtinId="9" hidden="1"/>
    <cellStyle name="Lien hypertexte visité" xfId="1408" builtinId="9" hidden="1"/>
    <cellStyle name="Lien hypertexte visité" xfId="1409" builtinId="9" hidden="1"/>
    <cellStyle name="Lien hypertexte visité" xfId="1410" builtinId="9" hidden="1"/>
    <cellStyle name="Lien hypertexte visité" xfId="1411" builtinId="9" hidden="1"/>
    <cellStyle name="Lien hypertexte visité" xfId="1412" builtinId="9" hidden="1"/>
    <cellStyle name="Lien hypertexte visité" xfId="1413" builtinId="9" hidden="1"/>
    <cellStyle name="Lien hypertexte visité" xfId="1414" builtinId="9" hidden="1"/>
    <cellStyle name="Lien hypertexte visité" xfId="1415" builtinId="9" hidden="1"/>
    <cellStyle name="Lien hypertexte visité" xfId="1416" builtinId="9" hidden="1"/>
    <cellStyle name="Lien hypertexte visité" xfId="1417" builtinId="9" hidden="1"/>
    <cellStyle name="Lien hypertexte visité" xfId="1418" builtinId="9" hidden="1"/>
    <cellStyle name="Lien hypertexte visité" xfId="1419" builtinId="9" hidden="1"/>
    <cellStyle name="Lien hypertexte visité" xfId="1420" builtinId="9" hidden="1"/>
    <cellStyle name="Lien hypertexte visité" xfId="1421" builtinId="9" hidden="1"/>
    <cellStyle name="Lien hypertexte visité" xfId="1422" builtinId="9" hidden="1"/>
    <cellStyle name="Lien hypertexte visité" xfId="1423" builtinId="9" hidden="1"/>
    <cellStyle name="Lien hypertexte visité" xfId="1424" builtinId="9" hidden="1"/>
    <cellStyle name="Lien hypertexte visité" xfId="1425" builtinId="9" hidden="1"/>
    <cellStyle name="Lien hypertexte visité" xfId="1426" builtinId="9" hidden="1"/>
    <cellStyle name="Lien hypertexte visité" xfId="1427" builtinId="9" hidden="1"/>
    <cellStyle name="Lien hypertexte visité" xfId="1428" builtinId="9" hidden="1"/>
    <cellStyle name="Lien hypertexte visité" xfId="1429" builtinId="9" hidden="1"/>
    <cellStyle name="Lien hypertexte visité" xfId="1430" builtinId="9" hidden="1"/>
    <cellStyle name="Lien hypertexte visité" xfId="1431" builtinId="9" hidden="1"/>
    <cellStyle name="Lien hypertexte visité" xfId="1432" builtinId="9" hidden="1"/>
    <cellStyle name="Lien hypertexte visité" xfId="1433" builtinId="9" hidden="1"/>
    <cellStyle name="Lien hypertexte visité" xfId="1434" builtinId="9" hidden="1"/>
    <cellStyle name="Lien hypertexte visité" xfId="1435" builtinId="9" hidden="1"/>
    <cellStyle name="Lien hypertexte visité" xfId="1436" builtinId="9" hidden="1"/>
    <cellStyle name="Lien hypertexte visité" xfId="1437" builtinId="9" hidden="1"/>
    <cellStyle name="Lien hypertexte visité" xfId="1438" builtinId="9" hidden="1"/>
    <cellStyle name="Lien hypertexte visité" xfId="1439" builtinId="9" hidden="1"/>
    <cellStyle name="Lien hypertexte visité" xfId="1440" builtinId="9" hidden="1"/>
    <cellStyle name="Lien hypertexte visité" xfId="1441" builtinId="9" hidden="1"/>
    <cellStyle name="Lien hypertexte visité" xfId="1442" builtinId="9" hidden="1"/>
    <cellStyle name="Lien hypertexte visité" xfId="1443" builtinId="9" hidden="1"/>
    <cellStyle name="Lien hypertexte visité" xfId="1444" builtinId="9" hidden="1"/>
    <cellStyle name="Lien hypertexte visité" xfId="1445" builtinId="9" hidden="1"/>
    <cellStyle name="Lien hypertexte visité" xfId="1446" builtinId="9" hidden="1"/>
    <cellStyle name="Lien hypertexte visité" xfId="1447" builtinId="9" hidden="1"/>
    <cellStyle name="Lien hypertexte visité" xfId="1448" builtinId="9" hidden="1"/>
    <cellStyle name="Lien hypertexte visité" xfId="1449" builtinId="9" hidden="1"/>
    <cellStyle name="Lien hypertexte visité" xfId="1450" builtinId="9" hidden="1"/>
    <cellStyle name="Lien hypertexte visité" xfId="1451" builtinId="9" hidden="1"/>
    <cellStyle name="Lien hypertexte visité" xfId="1452" builtinId="9" hidden="1"/>
    <cellStyle name="Lien hypertexte visité" xfId="1453" builtinId="9" hidden="1"/>
    <cellStyle name="Lien hypertexte visité" xfId="1454" builtinId="9" hidden="1"/>
    <cellStyle name="Lien hypertexte visité" xfId="1455" builtinId="9" hidden="1"/>
    <cellStyle name="Lien hypertexte visité" xfId="1456" builtinId="9" hidden="1"/>
    <cellStyle name="Lien hypertexte visité" xfId="1457" builtinId="9" hidden="1"/>
    <cellStyle name="Lien hypertexte visité" xfId="1458" builtinId="9" hidden="1"/>
    <cellStyle name="Lien hypertexte visité" xfId="1459" builtinId="9" hidden="1"/>
    <cellStyle name="Lien hypertexte visité" xfId="1460" builtinId="9" hidden="1"/>
    <cellStyle name="Lien hypertexte visité" xfId="1461" builtinId="9" hidden="1"/>
    <cellStyle name="Lien hypertexte visité" xfId="1462" builtinId="9" hidden="1"/>
    <cellStyle name="Lien hypertexte visité" xfId="1463" builtinId="9" hidden="1"/>
    <cellStyle name="Lien hypertexte visité" xfId="1464" builtinId="9" hidden="1"/>
    <cellStyle name="Lien hypertexte visité" xfId="1465" builtinId="9" hidden="1"/>
    <cellStyle name="Lien hypertexte visité" xfId="1466" builtinId="9" hidden="1"/>
    <cellStyle name="Lien hypertexte visité" xfId="1467" builtinId="9" hidden="1"/>
    <cellStyle name="Lien hypertexte visité" xfId="1468" builtinId="9" hidden="1"/>
    <cellStyle name="Lien hypertexte visité" xfId="1469" builtinId="9" hidden="1"/>
    <cellStyle name="Lien hypertexte visité" xfId="1470" builtinId="9" hidden="1"/>
    <cellStyle name="Lien hypertexte visité" xfId="1471" builtinId="9" hidden="1"/>
    <cellStyle name="Lien hypertexte visité" xfId="1472" builtinId="9" hidden="1"/>
    <cellStyle name="Lien hypertexte visité" xfId="1473" builtinId="9" hidden="1"/>
    <cellStyle name="Lien hypertexte visité" xfId="1474" builtinId="9" hidden="1"/>
    <cellStyle name="Lien hypertexte visité" xfId="1475" builtinId="9" hidden="1"/>
    <cellStyle name="Lien hypertexte visité" xfId="1476" builtinId="9" hidden="1"/>
    <cellStyle name="Lien hypertexte visité" xfId="1477" builtinId="9" hidden="1"/>
    <cellStyle name="Lien hypertexte visité" xfId="1478" builtinId="9" hidden="1"/>
    <cellStyle name="Lien hypertexte visité" xfId="1479" builtinId="9" hidden="1"/>
    <cellStyle name="Lien hypertexte visité" xfId="1480" builtinId="9" hidden="1"/>
    <cellStyle name="Lien hypertexte visité" xfId="1481" builtinId="9" hidden="1"/>
    <cellStyle name="Lien hypertexte visité" xfId="1482" builtinId="9" hidden="1"/>
    <cellStyle name="Lien hypertexte visité" xfId="1483" builtinId="9" hidden="1"/>
    <cellStyle name="Lien hypertexte visité" xfId="1484" builtinId="9" hidden="1"/>
    <cellStyle name="Lien hypertexte visité" xfId="1485" builtinId="9" hidden="1"/>
    <cellStyle name="Lien hypertexte visité" xfId="1486" builtinId="9" hidden="1"/>
    <cellStyle name="Lien hypertexte visité" xfId="1487" builtinId="9" hidden="1"/>
    <cellStyle name="Lien hypertexte visité" xfId="1488" builtinId="9" hidden="1"/>
    <cellStyle name="Lien hypertexte visité" xfId="1489" builtinId="9" hidden="1"/>
    <cellStyle name="Lien hypertexte visité" xfId="1490" builtinId="9" hidden="1"/>
    <cellStyle name="Lien hypertexte visité" xfId="1491" builtinId="9" hidden="1"/>
    <cellStyle name="Lien hypertexte visité" xfId="1492" builtinId="9" hidden="1"/>
    <cellStyle name="Lien hypertexte visité" xfId="1493" builtinId="9" hidden="1"/>
    <cellStyle name="Lien hypertexte visité" xfId="1494" builtinId="9" hidden="1"/>
    <cellStyle name="Lien hypertexte visité" xfId="1495" builtinId="9" hidden="1"/>
    <cellStyle name="Lien hypertexte visité" xfId="1496" builtinId="9" hidden="1"/>
    <cellStyle name="Lien hypertexte visité" xfId="1497" builtinId="9" hidden="1"/>
    <cellStyle name="Lien hypertexte visité" xfId="1498" builtinId="9" hidden="1"/>
    <cellStyle name="Lien hypertexte visité" xfId="1499" builtinId="9" hidden="1"/>
    <cellStyle name="Lien hypertexte visité" xfId="1500" builtinId="9" hidden="1"/>
    <cellStyle name="Lien hypertexte visité" xfId="1501" builtinId="9" hidden="1"/>
    <cellStyle name="Lien hypertexte visité" xfId="1502" builtinId="9" hidden="1"/>
    <cellStyle name="Lien hypertexte visité" xfId="1503" builtinId="9" hidden="1"/>
    <cellStyle name="Lien hypertexte visité" xfId="1504" builtinId="9" hidden="1"/>
    <cellStyle name="Lien hypertexte visité" xfId="1505" builtinId="9" hidden="1"/>
    <cellStyle name="Lien hypertexte visité" xfId="1506" builtinId="9" hidden="1"/>
    <cellStyle name="Lien hypertexte visité" xfId="1507" builtinId="9" hidden="1"/>
    <cellStyle name="Lien hypertexte visité" xfId="1508" builtinId="9" hidden="1"/>
    <cellStyle name="Lien hypertexte visité" xfId="1509" builtinId="9" hidden="1"/>
    <cellStyle name="Lien hypertexte visité" xfId="1510" builtinId="9" hidden="1"/>
    <cellStyle name="Lien hypertexte visité" xfId="1511" builtinId="9" hidden="1"/>
    <cellStyle name="Lien hypertexte visité" xfId="1512" builtinId="9" hidden="1"/>
    <cellStyle name="Lien hypertexte visité" xfId="1513" builtinId="9" hidden="1"/>
    <cellStyle name="Lien hypertexte visité" xfId="1514" builtinId="9" hidden="1"/>
    <cellStyle name="Lien hypertexte visité" xfId="1515" builtinId="9" hidden="1"/>
    <cellStyle name="Lien hypertexte visité" xfId="1516" builtinId="9" hidden="1"/>
    <cellStyle name="Lien hypertexte visité" xfId="1517" builtinId="9" hidden="1"/>
    <cellStyle name="Lien hypertexte visité" xfId="1518" builtinId="9" hidden="1"/>
    <cellStyle name="Lien hypertexte visité" xfId="1519" builtinId="9" hidden="1"/>
    <cellStyle name="Lien hypertexte visité" xfId="1520" builtinId="9" hidden="1"/>
    <cellStyle name="Lien hypertexte visité" xfId="1521" builtinId="9" hidden="1"/>
    <cellStyle name="Lien hypertexte visité" xfId="1522" builtinId="9" hidden="1"/>
    <cellStyle name="Lien hypertexte visité" xfId="1523" builtinId="9" hidden="1"/>
    <cellStyle name="Lien hypertexte visité" xfId="1524" builtinId="9" hidden="1"/>
    <cellStyle name="Lien hypertexte visité" xfId="1525" builtinId="9" hidden="1"/>
    <cellStyle name="Lien hypertexte visité" xfId="1526" builtinId="9" hidden="1"/>
    <cellStyle name="Lien hypertexte visité" xfId="1527" builtinId="9" hidden="1"/>
    <cellStyle name="Lien hypertexte visité" xfId="1528" builtinId="9" hidden="1"/>
    <cellStyle name="Lien hypertexte visité" xfId="1529" builtinId="9" hidden="1"/>
    <cellStyle name="Lien hypertexte visité" xfId="1530" builtinId="9" hidden="1"/>
    <cellStyle name="Lien hypertexte visité" xfId="1531" builtinId="9" hidden="1"/>
    <cellStyle name="Lien hypertexte visité" xfId="1532" builtinId="9" hidden="1"/>
    <cellStyle name="Lien hypertexte visité" xfId="1533" builtinId="9" hidden="1"/>
    <cellStyle name="Lien hypertexte visité" xfId="1534" builtinId="9" hidden="1"/>
    <cellStyle name="Lien hypertexte visité" xfId="1535" builtinId="9" hidden="1"/>
    <cellStyle name="Lien hypertexte visité" xfId="1536" builtinId="9" hidden="1"/>
    <cellStyle name="Lien hypertexte visité" xfId="1537" builtinId="9" hidden="1"/>
    <cellStyle name="Lien hypertexte visité" xfId="1538" builtinId="9" hidden="1"/>
    <cellStyle name="Lien hypertexte visité" xfId="1539" builtinId="9" hidden="1"/>
    <cellStyle name="Lien hypertexte visité" xfId="1540" builtinId="9" hidden="1"/>
    <cellStyle name="Lien hypertexte visité" xfId="1541" builtinId="9" hidden="1"/>
    <cellStyle name="Lien hypertexte visité" xfId="1542" builtinId="9" hidden="1"/>
    <cellStyle name="Lien hypertexte visité" xfId="1543" builtinId="9" hidden="1"/>
    <cellStyle name="Lien hypertexte visité" xfId="1544" builtinId="9" hidden="1"/>
    <cellStyle name="Lien hypertexte visité" xfId="1545" builtinId="9" hidden="1"/>
    <cellStyle name="Lien hypertexte visité" xfId="1546" builtinId="9" hidden="1"/>
    <cellStyle name="Lien hypertexte visité" xfId="1547" builtinId="9" hidden="1"/>
    <cellStyle name="Lien hypertexte visité" xfId="1548" builtinId="9" hidden="1"/>
    <cellStyle name="Lien hypertexte visité" xfId="1549" builtinId="9" hidden="1"/>
    <cellStyle name="Lien hypertexte visité" xfId="1550" builtinId="9" hidden="1"/>
    <cellStyle name="Lien hypertexte visité" xfId="1551" builtinId="9" hidden="1"/>
    <cellStyle name="Lien hypertexte visité" xfId="1552" builtinId="9" hidden="1"/>
    <cellStyle name="Lien hypertexte visité" xfId="1553" builtinId="9" hidden="1"/>
    <cellStyle name="Lien hypertexte visité" xfId="1554" builtinId="9" hidden="1"/>
    <cellStyle name="Lien hypertexte visité" xfId="1555" builtinId="9" hidden="1"/>
    <cellStyle name="Lien hypertexte visité" xfId="1556" builtinId="9" hidden="1"/>
    <cellStyle name="Lien hypertexte visité" xfId="1557" builtinId="9" hidden="1"/>
    <cellStyle name="Lien hypertexte visité" xfId="1558" builtinId="9" hidden="1"/>
    <cellStyle name="Lien hypertexte visité" xfId="1559" builtinId="9" hidden="1"/>
    <cellStyle name="Lien hypertexte visité" xfId="1560" builtinId="9" hidden="1"/>
    <cellStyle name="Lien hypertexte visité" xfId="1561" builtinId="9" hidden="1"/>
    <cellStyle name="Lien hypertexte visité" xfId="1562" builtinId="9" hidden="1"/>
    <cellStyle name="Lien hypertexte visité" xfId="1563" builtinId="9" hidden="1"/>
    <cellStyle name="Lien hypertexte visité" xfId="1564" builtinId="9" hidden="1"/>
    <cellStyle name="Lien hypertexte visité" xfId="1565" builtinId="9" hidden="1"/>
    <cellStyle name="Lien hypertexte visité" xfId="1566" builtinId="9" hidden="1"/>
    <cellStyle name="Lien hypertexte visité" xfId="1567" builtinId="9" hidden="1"/>
    <cellStyle name="Lien hypertexte visité" xfId="1568" builtinId="9" hidden="1"/>
    <cellStyle name="Lien hypertexte visité" xfId="1569" builtinId="9" hidden="1"/>
    <cellStyle name="Lien hypertexte visité" xfId="1570" builtinId="9" hidden="1"/>
    <cellStyle name="Lien hypertexte visité" xfId="1571" builtinId="9" hidden="1"/>
    <cellStyle name="Lien hypertexte visité" xfId="1572" builtinId="9" hidden="1"/>
    <cellStyle name="Lien hypertexte visité" xfId="1573" builtinId="9" hidden="1"/>
    <cellStyle name="Lien hypertexte visité" xfId="1574" builtinId="9" hidden="1"/>
    <cellStyle name="Lien hypertexte visité" xfId="1575" builtinId="9" hidden="1"/>
    <cellStyle name="Lien hypertexte visité" xfId="1576" builtinId="9" hidden="1"/>
    <cellStyle name="Lien hypertexte visité" xfId="1577" builtinId="9" hidden="1"/>
    <cellStyle name="Lien hypertexte visité" xfId="1578" builtinId="9" hidden="1"/>
    <cellStyle name="Lien hypertexte visité" xfId="1579" builtinId="9" hidden="1"/>
    <cellStyle name="Lien hypertexte visité" xfId="1580" builtinId="9" hidden="1"/>
    <cellStyle name="Lien hypertexte visité" xfId="1581" builtinId="9" hidden="1"/>
    <cellStyle name="Lien hypertexte visité" xfId="1582" builtinId="9" hidden="1"/>
    <cellStyle name="Lien hypertexte visité" xfId="1583" builtinId="9" hidden="1"/>
    <cellStyle name="Lien hypertexte visité" xfId="1584" builtinId="9" hidden="1"/>
    <cellStyle name="Lien hypertexte visité" xfId="1585" builtinId="9" hidden="1"/>
    <cellStyle name="Lien hypertexte visité" xfId="1586" builtinId="9" hidden="1"/>
    <cellStyle name="Lien hypertexte visité" xfId="1587" builtinId="9" hidden="1"/>
    <cellStyle name="Lien hypertexte visité" xfId="1588" builtinId="9" hidden="1"/>
    <cellStyle name="Lien hypertexte visité" xfId="1589" builtinId="9" hidden="1"/>
    <cellStyle name="Lien hypertexte visité" xfId="1590" builtinId="9" hidden="1"/>
    <cellStyle name="Lien hypertexte visité" xfId="1591" builtinId="9" hidden="1"/>
    <cellStyle name="Lien hypertexte visité" xfId="1592" builtinId="9" hidden="1"/>
    <cellStyle name="Lien hypertexte visité" xfId="1593" builtinId="9" hidden="1"/>
    <cellStyle name="Lien hypertexte visité" xfId="1594" builtinId="9" hidden="1"/>
    <cellStyle name="Lien hypertexte visité" xfId="1595" builtinId="9" hidden="1"/>
    <cellStyle name="Lien hypertexte visité" xfId="1596" builtinId="9" hidden="1"/>
    <cellStyle name="Lien hypertexte visité" xfId="1597" builtinId="9" hidden="1"/>
    <cellStyle name="Lien hypertexte visité" xfId="1598" builtinId="9" hidden="1"/>
    <cellStyle name="Lien hypertexte visité" xfId="1599" builtinId="9" hidden="1"/>
    <cellStyle name="Lien hypertexte visité" xfId="1600" builtinId="9" hidden="1"/>
    <cellStyle name="Lien hypertexte visité" xfId="1601" builtinId="9" hidden="1"/>
    <cellStyle name="Lien hypertexte visité" xfId="1602" builtinId="9" hidden="1"/>
    <cellStyle name="Lien hypertexte visité" xfId="1603" builtinId="9" hidden="1"/>
    <cellStyle name="Lien hypertexte visité" xfId="1604" builtinId="9" hidden="1"/>
    <cellStyle name="Lien hypertexte visité" xfId="1605" builtinId="9" hidden="1"/>
    <cellStyle name="Lien hypertexte visité" xfId="1606" builtinId="9" hidden="1"/>
    <cellStyle name="Lien hypertexte visité" xfId="1607" builtinId="9" hidden="1"/>
    <cellStyle name="Lien hypertexte visité" xfId="1608" builtinId="9" hidden="1"/>
    <cellStyle name="Lien hypertexte visité" xfId="1609" builtinId="9" hidden="1"/>
    <cellStyle name="Lien hypertexte visité" xfId="1610" builtinId="9" hidden="1"/>
    <cellStyle name="Lien hypertexte visité" xfId="1611" builtinId="9" hidden="1"/>
    <cellStyle name="Lien hypertexte visité" xfId="1612" builtinId="9" hidden="1"/>
    <cellStyle name="Lien hypertexte visité" xfId="1613" builtinId="9" hidden="1"/>
    <cellStyle name="Lien hypertexte visité" xfId="1614" builtinId="9" hidden="1"/>
    <cellStyle name="Lien hypertexte visité" xfId="1615" builtinId="9" hidden="1"/>
    <cellStyle name="Lien hypertexte visité" xfId="1616" builtinId="9" hidden="1"/>
    <cellStyle name="Lien hypertexte visité" xfId="1617" builtinId="9" hidden="1"/>
    <cellStyle name="Lien hypertexte visité" xfId="1618" builtinId="9" hidden="1"/>
    <cellStyle name="Lien hypertexte visité" xfId="1619" builtinId="9" hidden="1"/>
    <cellStyle name="Lien hypertexte visité" xfId="1620" builtinId="9" hidden="1"/>
    <cellStyle name="Lien hypertexte visité" xfId="1621" builtinId="9" hidden="1"/>
    <cellStyle name="Lien hypertexte visité" xfId="1622" builtinId="9" hidden="1"/>
    <cellStyle name="Lien hypertexte visité" xfId="1623" builtinId="9" hidden="1"/>
    <cellStyle name="Lien hypertexte visité" xfId="1624" builtinId="9" hidden="1"/>
    <cellStyle name="Lien hypertexte visité" xfId="1625" builtinId="9" hidden="1"/>
    <cellStyle name="Lien hypertexte visité" xfId="1626" builtinId="9" hidden="1"/>
    <cellStyle name="Lien hypertexte visité" xfId="1627" builtinId="9" hidden="1"/>
    <cellStyle name="Lien hypertexte visité" xfId="1628" builtinId="9" hidden="1"/>
    <cellStyle name="Lien hypertexte visité" xfId="1629" builtinId="9" hidden="1"/>
    <cellStyle name="Lien hypertexte visité" xfId="1630" builtinId="9" hidden="1"/>
    <cellStyle name="Lien hypertexte visité" xfId="1631" builtinId="9" hidden="1"/>
    <cellStyle name="Lien hypertexte visité" xfId="1632" builtinId="9" hidden="1"/>
    <cellStyle name="Lien hypertexte visité" xfId="1633" builtinId="9" hidden="1"/>
    <cellStyle name="Lien hypertexte visité" xfId="1634" builtinId="9" hidden="1"/>
    <cellStyle name="Lien hypertexte visité" xfId="1635" builtinId="9" hidden="1"/>
    <cellStyle name="Lien hypertexte visité" xfId="1636" builtinId="9" hidden="1"/>
    <cellStyle name="Lien hypertexte visité" xfId="1637" builtinId="9" hidden="1"/>
    <cellStyle name="Lien hypertexte visité" xfId="1638" builtinId="9" hidden="1"/>
    <cellStyle name="Lien hypertexte visité" xfId="1640" builtinId="9" hidden="1"/>
    <cellStyle name="Lien hypertexte visité" xfId="1641" builtinId="9" hidden="1"/>
    <cellStyle name="Lien hypertexte visité" xfId="1642" builtinId="9" hidden="1"/>
    <cellStyle name="Lien hypertexte visité" xfId="1643" builtinId="9" hidden="1"/>
    <cellStyle name="Lien hypertexte visité" xfId="1644" builtinId="9" hidden="1"/>
    <cellStyle name="Lien hypertexte visité" xfId="1645" builtinId="9" hidden="1"/>
    <cellStyle name="Lien hypertexte visité" xfId="1646" builtinId="9" hidden="1"/>
    <cellStyle name="Lien hypertexte visité" xfId="1647" builtinId="9" hidden="1"/>
    <cellStyle name="Lien hypertexte visité" xfId="1648" builtinId="9" hidden="1"/>
    <cellStyle name="Lien hypertexte visité" xfId="1649" builtinId="9" hidden="1"/>
    <cellStyle name="Lien hypertexte visité" xfId="1650" builtinId="9" hidden="1"/>
    <cellStyle name="Lien hypertexte visité" xfId="1651" builtinId="9" hidden="1"/>
    <cellStyle name="Lien hypertexte visité" xfId="1652" builtinId="9" hidden="1"/>
    <cellStyle name="Lien hypertexte visité" xfId="1653" builtinId="9" hidden="1"/>
    <cellStyle name="Lien hypertexte visité" xfId="1654" builtinId="9" hidden="1"/>
    <cellStyle name="Lien hypertexte visité" xfId="1655" builtinId="9" hidden="1"/>
    <cellStyle name="Lien hypertexte visité" xfId="1656" builtinId="9" hidden="1"/>
    <cellStyle name="Lien hypertexte visité" xfId="1657" builtinId="9" hidden="1"/>
    <cellStyle name="Lien hypertexte visité" xfId="1658" builtinId="9" hidden="1"/>
    <cellStyle name="Lien hypertexte visité" xfId="1659" builtinId="9" hidden="1"/>
    <cellStyle name="Lien hypertexte visité" xfId="1660" builtinId="9" hidden="1"/>
    <cellStyle name="Lien hypertexte visité" xfId="1661" builtinId="9" hidden="1"/>
    <cellStyle name="Lien hypertexte visité" xfId="1662" builtinId="9" hidden="1"/>
    <cellStyle name="Lien hypertexte visité" xfId="1663" builtinId="9" hidden="1"/>
    <cellStyle name="Lien hypertexte visité" xfId="1664" builtinId="9" hidden="1"/>
    <cellStyle name="Lien hypertexte visité" xfId="1665" builtinId="9" hidden="1"/>
    <cellStyle name="Lien hypertexte visité" xfId="1666" builtinId="9" hidden="1"/>
    <cellStyle name="Lien hypertexte visité" xfId="1667" builtinId="9" hidden="1"/>
    <cellStyle name="Lien hypertexte visité" xfId="1668" builtinId="9" hidden="1"/>
    <cellStyle name="Lien hypertexte visité" xfId="1669" builtinId="9" hidden="1"/>
    <cellStyle name="Lien hypertexte visité" xfId="1670" builtinId="9" hidden="1"/>
    <cellStyle name="Lien hypertexte visité" xfId="1671" builtinId="9" hidden="1"/>
    <cellStyle name="Lien hypertexte visité" xfId="1672" builtinId="9" hidden="1"/>
    <cellStyle name="Lien hypertexte visité" xfId="1673" builtinId="9" hidden="1"/>
    <cellStyle name="Lien hypertexte visité" xfId="1674" builtinId="9" hidden="1"/>
    <cellStyle name="Lien hypertexte visité" xfId="1675" builtinId="9" hidden="1"/>
    <cellStyle name="Lien hypertexte visité" xfId="1676" builtinId="9" hidden="1"/>
    <cellStyle name="Lien hypertexte visité" xfId="1677" builtinId="9" hidden="1"/>
    <cellStyle name="Lien hypertexte visité" xfId="1678" builtinId="9" hidden="1"/>
    <cellStyle name="Lien hypertexte visité" xfId="1679" builtinId="9" hidden="1"/>
    <cellStyle name="Lien hypertexte visité" xfId="1680" builtinId="9" hidden="1"/>
    <cellStyle name="Lien hypertexte visité" xfId="1681" builtinId="9" hidden="1"/>
    <cellStyle name="Lien hypertexte visité" xfId="1682" builtinId="9" hidden="1"/>
    <cellStyle name="Lien hypertexte visité" xfId="1683" builtinId="9" hidden="1"/>
    <cellStyle name="Lien hypertexte visité" xfId="1684" builtinId="9" hidden="1"/>
    <cellStyle name="Lien hypertexte visité" xfId="1685" builtinId="9" hidden="1"/>
    <cellStyle name="Lien hypertexte visité" xfId="1686" builtinId="9" hidden="1"/>
    <cellStyle name="Lien hypertexte visité" xfId="1687" builtinId="9" hidden="1"/>
    <cellStyle name="Lien hypertexte visité" xfId="1688" builtinId="9" hidden="1"/>
    <cellStyle name="Lien hypertexte visité" xfId="1689" builtinId="9" hidden="1"/>
    <cellStyle name="Lien hypertexte visité" xfId="1690" builtinId="9" hidden="1"/>
    <cellStyle name="Lien hypertexte visité" xfId="1691" builtinId="9" hidden="1"/>
    <cellStyle name="Lien hypertexte visité" xfId="1692" builtinId="9" hidden="1"/>
    <cellStyle name="Lien hypertexte visité" xfId="1693" builtinId="9" hidden="1"/>
    <cellStyle name="Lien hypertexte visité" xfId="1694" builtinId="9" hidden="1"/>
    <cellStyle name="Lien hypertexte visité" xfId="1695" builtinId="9" hidden="1"/>
    <cellStyle name="Lien hypertexte visité" xfId="1696" builtinId="9" hidden="1"/>
    <cellStyle name="Lien hypertexte visité" xfId="1697" builtinId="9" hidden="1"/>
    <cellStyle name="Lien hypertexte visité" xfId="1698" builtinId="9" hidden="1"/>
    <cellStyle name="Lien hypertexte visité" xfId="1699" builtinId="9" hidden="1"/>
    <cellStyle name="Lien hypertexte visité" xfId="1700" builtinId="9" hidden="1"/>
    <cellStyle name="Lien hypertexte visité" xfId="1701" builtinId="9" hidden="1"/>
    <cellStyle name="Lien hypertexte visité" xfId="1702" builtinId="9" hidden="1"/>
    <cellStyle name="Lien hypertexte visité" xfId="1703" builtinId="9" hidden="1"/>
    <cellStyle name="Lien hypertexte visité" xfId="1704" builtinId="9" hidden="1"/>
    <cellStyle name="Lien hypertexte visité" xfId="1705" builtinId="9" hidden="1"/>
    <cellStyle name="Lien hypertexte visité" xfId="1706" builtinId="9" hidden="1"/>
    <cellStyle name="Lien hypertexte visité" xfId="1707" builtinId="9" hidden="1"/>
    <cellStyle name="Lien hypertexte visité" xfId="1708" builtinId="9" hidden="1"/>
    <cellStyle name="Lien hypertexte visité" xfId="1709" builtinId="9" hidden="1"/>
    <cellStyle name="Lien hypertexte visité" xfId="1710" builtinId="9" hidden="1"/>
    <cellStyle name="Lien hypertexte visité" xfId="1711" builtinId="9" hidden="1"/>
    <cellStyle name="Lien hypertexte visité" xfId="1712" builtinId="9" hidden="1"/>
    <cellStyle name="Lien hypertexte visité" xfId="1713" builtinId="9" hidden="1"/>
    <cellStyle name="Lien hypertexte visité" xfId="1714" builtinId="9" hidden="1"/>
    <cellStyle name="Lien hypertexte visité" xfId="1715" builtinId="9" hidden="1"/>
    <cellStyle name="Lien hypertexte visité" xfId="1716" builtinId="9" hidden="1"/>
    <cellStyle name="Lien hypertexte visité" xfId="1717" builtinId="9" hidden="1"/>
    <cellStyle name="Lien hypertexte visité" xfId="1718" builtinId="9" hidden="1"/>
    <cellStyle name="Lien hypertexte visité" xfId="1719" builtinId="9" hidden="1"/>
    <cellStyle name="Lien hypertexte visité" xfId="1720" builtinId="9" hidden="1"/>
    <cellStyle name="Lien hypertexte visité" xfId="1721" builtinId="9" hidden="1"/>
    <cellStyle name="Lien hypertexte visité" xfId="1722" builtinId="9" hidden="1"/>
    <cellStyle name="Lien hypertexte visité" xfId="1723" builtinId="9" hidden="1"/>
    <cellStyle name="Lien hypertexte visité" xfId="1724" builtinId="9" hidden="1"/>
    <cellStyle name="Lien hypertexte visité" xfId="1725" builtinId="9" hidden="1"/>
    <cellStyle name="Lien hypertexte visité" xfId="1726" builtinId="9" hidden="1"/>
    <cellStyle name="Lien hypertexte visité" xfId="1727" builtinId="9" hidden="1"/>
    <cellStyle name="Lien hypertexte visité" xfId="1728" builtinId="9" hidden="1"/>
    <cellStyle name="Lien hypertexte visité" xfId="1729" builtinId="9" hidden="1"/>
    <cellStyle name="Lien hypertexte visité" xfId="1730" builtinId="9" hidden="1"/>
    <cellStyle name="Lien hypertexte visité" xfId="1731" builtinId="9" hidden="1"/>
    <cellStyle name="Lien hypertexte visité" xfId="1732" builtinId="9" hidden="1"/>
    <cellStyle name="Lien hypertexte visité" xfId="1733" builtinId="9" hidden="1"/>
    <cellStyle name="Lien hypertexte visité" xfId="1734" builtinId="9" hidden="1"/>
    <cellStyle name="Lien hypertexte visité" xfId="1735" builtinId="9" hidden="1"/>
    <cellStyle name="Lien hypertexte visité" xfId="1736" builtinId="9" hidden="1"/>
    <cellStyle name="Lien hypertexte visité" xfId="1737" builtinId="9" hidden="1"/>
    <cellStyle name="Lien hypertexte visité" xfId="1738" builtinId="9" hidden="1"/>
    <cellStyle name="Lien hypertexte visité" xfId="1739" builtinId="9" hidden="1"/>
    <cellStyle name="Lien hypertexte visité" xfId="1740" builtinId="9" hidden="1"/>
    <cellStyle name="Lien hypertexte visité" xfId="1741" builtinId="9" hidden="1"/>
    <cellStyle name="Lien hypertexte visité" xfId="1742" builtinId="9" hidden="1"/>
    <cellStyle name="Lien hypertexte visité" xfId="1743" builtinId="9" hidden="1"/>
    <cellStyle name="Lien hypertexte visité" xfId="1744" builtinId="9" hidden="1"/>
    <cellStyle name="Lien hypertexte visité" xfId="1745" builtinId="9" hidden="1"/>
    <cellStyle name="Lien hypertexte visité" xfId="1746" builtinId="9" hidden="1"/>
    <cellStyle name="Lien hypertexte visité" xfId="1747" builtinId="9" hidden="1"/>
    <cellStyle name="Lien hypertexte visité" xfId="1748" builtinId="9" hidden="1"/>
    <cellStyle name="Lien hypertexte visité" xfId="1749" builtinId="9" hidden="1"/>
    <cellStyle name="Lien hypertexte visité" xfId="1750" builtinId="9" hidden="1"/>
    <cellStyle name="Lien hypertexte visité" xfId="1751" builtinId="9" hidden="1"/>
    <cellStyle name="Lien hypertexte visité" xfId="1752" builtinId="9" hidden="1"/>
    <cellStyle name="Lien hypertexte visité" xfId="1753" builtinId="9" hidden="1"/>
    <cellStyle name="Lien hypertexte visité" xfId="1754" builtinId="9" hidden="1"/>
    <cellStyle name="Lien hypertexte visité" xfId="1755" builtinId="9" hidden="1"/>
    <cellStyle name="Lien hypertexte visité" xfId="1756" builtinId="9" hidden="1"/>
    <cellStyle name="Lien hypertexte visité" xfId="1757" builtinId="9" hidden="1"/>
    <cellStyle name="Lien hypertexte visité" xfId="1758" builtinId="9" hidden="1"/>
    <cellStyle name="Lien hypertexte visité" xfId="1759" builtinId="9" hidden="1"/>
    <cellStyle name="Lien hypertexte visité" xfId="1760" builtinId="9" hidden="1"/>
    <cellStyle name="Lien hypertexte visité" xfId="1761" builtinId="9" hidden="1"/>
    <cellStyle name="Lien hypertexte visité" xfId="1762" builtinId="9" hidden="1"/>
    <cellStyle name="Lien hypertexte visité" xfId="1763" builtinId="9" hidden="1"/>
    <cellStyle name="Lien hypertexte visité" xfId="1764" builtinId="9" hidden="1"/>
    <cellStyle name="Lien hypertexte visité" xfId="1765" builtinId="9" hidden="1"/>
    <cellStyle name="Lien hypertexte visité" xfId="1766" builtinId="9" hidden="1"/>
    <cellStyle name="Lien hypertexte visité" xfId="1767" builtinId="9" hidden="1"/>
    <cellStyle name="Lien hypertexte visité" xfId="1768" builtinId="9" hidden="1"/>
    <cellStyle name="Lien hypertexte visité" xfId="1769" builtinId="9" hidden="1"/>
    <cellStyle name="Lien hypertexte visité" xfId="1770" builtinId="9" hidden="1"/>
    <cellStyle name="Lien hypertexte visité" xfId="1771" builtinId="9" hidden="1"/>
    <cellStyle name="Lien hypertexte visité" xfId="1772" builtinId="9" hidden="1"/>
    <cellStyle name="Lien hypertexte visité" xfId="1773" builtinId="9" hidden="1"/>
    <cellStyle name="Lien hypertexte visité" xfId="1774" builtinId="9" hidden="1"/>
    <cellStyle name="Lien hypertexte visité" xfId="1775" builtinId="9" hidden="1"/>
    <cellStyle name="Lien hypertexte visité" xfId="1776" builtinId="9" hidden="1"/>
    <cellStyle name="Lien hypertexte visité" xfId="1777" builtinId="9" hidden="1"/>
    <cellStyle name="Lien hypertexte visité" xfId="1778" builtinId="9" hidden="1"/>
    <cellStyle name="Lien hypertexte visité" xfId="1779" builtinId="9" hidden="1"/>
    <cellStyle name="Lien hypertexte visité" xfId="1780" builtinId="9" hidden="1"/>
    <cellStyle name="Lien hypertexte visité" xfId="1781" builtinId="9" hidden="1"/>
    <cellStyle name="Lien hypertexte visité" xfId="1782" builtinId="9" hidden="1"/>
    <cellStyle name="Lien hypertexte visité" xfId="1783" builtinId="9" hidden="1"/>
    <cellStyle name="Lien hypertexte visité" xfId="1784" builtinId="9" hidden="1"/>
    <cellStyle name="Lien hypertexte visité" xfId="1785" builtinId="9" hidden="1"/>
    <cellStyle name="Lien hypertexte visité" xfId="1786" builtinId="9" hidden="1"/>
    <cellStyle name="Lien hypertexte visité" xfId="1787" builtinId="9" hidden="1"/>
    <cellStyle name="Lien hypertexte visité" xfId="1788" builtinId="9" hidden="1"/>
    <cellStyle name="Lien hypertexte visité" xfId="1789" builtinId="9" hidden="1"/>
    <cellStyle name="Lien hypertexte visité" xfId="1790" builtinId="9" hidden="1"/>
    <cellStyle name="Lien hypertexte visité" xfId="1791" builtinId="9" hidden="1"/>
    <cellStyle name="Lien hypertexte visité" xfId="1792" builtinId="9" hidden="1"/>
    <cellStyle name="Lien hypertexte visité" xfId="1793" builtinId="9" hidden="1"/>
    <cellStyle name="Lien hypertexte visité" xfId="1794" builtinId="9" hidden="1"/>
    <cellStyle name="Lien hypertexte visité" xfId="1795" builtinId="9" hidden="1"/>
    <cellStyle name="Lien hypertexte visité" xfId="1796" builtinId="9" hidden="1"/>
    <cellStyle name="Lien hypertexte visité" xfId="1797" builtinId="9" hidden="1"/>
    <cellStyle name="Lien hypertexte visité" xfId="1798" builtinId="9" hidden="1"/>
    <cellStyle name="Lien hypertexte visité" xfId="1799" builtinId="9" hidden="1"/>
    <cellStyle name="Lien hypertexte visité" xfId="1800" builtinId="9" hidden="1"/>
    <cellStyle name="Lien hypertexte visité" xfId="1801" builtinId="9" hidden="1"/>
    <cellStyle name="Lien hypertexte visité" xfId="1802" builtinId="9" hidden="1"/>
    <cellStyle name="Lien hypertexte visité" xfId="1803" builtinId="9" hidden="1"/>
    <cellStyle name="Lien hypertexte visité" xfId="1804" builtinId="9" hidden="1"/>
    <cellStyle name="Lien hypertexte visité" xfId="1805" builtinId="9" hidden="1"/>
    <cellStyle name="Lien hypertexte visité" xfId="1806" builtinId="9" hidden="1"/>
    <cellStyle name="Lien hypertexte visité" xfId="1807" builtinId="9" hidden="1"/>
    <cellStyle name="Lien hypertexte visité" xfId="1808" builtinId="9" hidden="1"/>
    <cellStyle name="Lien hypertexte visité" xfId="1809" builtinId="9" hidden="1"/>
    <cellStyle name="Lien hypertexte visité" xfId="1810" builtinId="9" hidden="1"/>
    <cellStyle name="Lien hypertexte visité" xfId="1811" builtinId="9" hidden="1"/>
    <cellStyle name="Lien hypertexte visité" xfId="1812" builtinId="9" hidden="1"/>
    <cellStyle name="Lien hypertexte visité" xfId="1813" builtinId="9" hidden="1"/>
    <cellStyle name="Lien hypertexte visité" xfId="1814" builtinId="9" hidden="1"/>
    <cellStyle name="Lien hypertexte visité" xfId="1815" builtinId="9" hidden="1"/>
    <cellStyle name="Lien hypertexte visité" xfId="1816" builtinId="9" hidden="1"/>
    <cellStyle name="Lien hypertexte visité" xfId="1817" builtinId="9" hidden="1"/>
    <cellStyle name="Lien hypertexte visité" xfId="1818" builtinId="9" hidden="1"/>
    <cellStyle name="Lien hypertexte visité" xfId="1819" builtinId="9" hidden="1"/>
    <cellStyle name="Lien hypertexte visité" xfId="1820" builtinId="9" hidden="1"/>
    <cellStyle name="Lien hypertexte visité" xfId="1821" builtinId="9" hidden="1"/>
    <cellStyle name="Lien hypertexte visité" xfId="1822" builtinId="9" hidden="1"/>
    <cellStyle name="Lien hypertexte visité" xfId="1823" builtinId="9" hidden="1"/>
    <cellStyle name="Lien hypertexte visité" xfId="1824" builtinId="9" hidden="1"/>
    <cellStyle name="Lien hypertexte visité" xfId="1825" builtinId="9" hidden="1"/>
    <cellStyle name="Lien hypertexte visité" xfId="1826" builtinId="9" hidden="1"/>
    <cellStyle name="Lien hypertexte visité" xfId="1827" builtinId="9" hidden="1"/>
    <cellStyle name="Lien hypertexte visité" xfId="1828" builtinId="9" hidden="1"/>
    <cellStyle name="Lien hypertexte visité" xfId="1829" builtinId="9" hidden="1"/>
    <cellStyle name="Lien hypertexte visité" xfId="1830" builtinId="9" hidden="1"/>
    <cellStyle name="Lien hypertexte visité" xfId="1831" builtinId="9" hidden="1"/>
    <cellStyle name="Lien hypertexte visité" xfId="1832" builtinId="9" hidden="1"/>
    <cellStyle name="Lien hypertexte visité" xfId="1833" builtinId="9" hidden="1"/>
    <cellStyle name="Lien hypertexte visité" xfId="1834" builtinId="9" hidden="1"/>
    <cellStyle name="Lien hypertexte visité" xfId="1835" builtinId="9" hidden="1"/>
    <cellStyle name="Lien hypertexte visité" xfId="1836" builtinId="9" hidden="1"/>
    <cellStyle name="Lien hypertexte visité" xfId="1837" builtinId="9" hidden="1"/>
    <cellStyle name="Lien hypertexte visité" xfId="1838" builtinId="9" hidden="1"/>
    <cellStyle name="Lien hypertexte visité" xfId="1839" builtinId="9" hidden="1"/>
    <cellStyle name="Lien hypertexte visité" xfId="1840" builtinId="9" hidden="1"/>
    <cellStyle name="Lien hypertexte visité" xfId="1841" builtinId="9" hidden="1"/>
    <cellStyle name="Lien hypertexte visité" xfId="1842" builtinId="9" hidden="1"/>
    <cellStyle name="Lien hypertexte visité" xfId="1843" builtinId="9" hidden="1"/>
    <cellStyle name="Lien hypertexte visité" xfId="1844" builtinId="9" hidden="1"/>
    <cellStyle name="Lien hypertexte visité" xfId="1845" builtinId="9" hidden="1"/>
    <cellStyle name="Lien hypertexte visité" xfId="1846" builtinId="9" hidden="1"/>
    <cellStyle name="Lien hypertexte visité" xfId="1847" builtinId="9" hidden="1"/>
    <cellStyle name="Lien hypertexte visité" xfId="1848" builtinId="9" hidden="1"/>
    <cellStyle name="Lien hypertexte visité" xfId="1849" builtinId="9" hidden="1"/>
    <cellStyle name="Lien hypertexte visité" xfId="1850" builtinId="9" hidden="1"/>
    <cellStyle name="Lien hypertexte visité" xfId="1851" builtinId="9" hidden="1"/>
    <cellStyle name="Lien hypertexte visité" xfId="1852" builtinId="9" hidden="1"/>
    <cellStyle name="Lien hypertexte visité" xfId="1853" builtinId="9" hidden="1"/>
    <cellStyle name="Lien hypertexte visité" xfId="1854" builtinId="9" hidden="1"/>
    <cellStyle name="Lien hypertexte visité" xfId="1855" builtinId="9" hidden="1"/>
    <cellStyle name="Lien hypertexte visité" xfId="1856" builtinId="9" hidden="1"/>
    <cellStyle name="Lien hypertexte visité" xfId="1857" builtinId="9" hidden="1"/>
    <cellStyle name="Lien hypertexte visité" xfId="1858" builtinId="9" hidden="1"/>
    <cellStyle name="Lien hypertexte visité" xfId="1859" builtinId="9" hidden="1"/>
    <cellStyle name="Lien hypertexte visité" xfId="1860" builtinId="9" hidden="1"/>
    <cellStyle name="Lien hypertexte visité" xfId="1861" builtinId="9" hidden="1"/>
    <cellStyle name="Lien hypertexte visité" xfId="1862" builtinId="9" hidden="1"/>
    <cellStyle name="Lien hypertexte visité" xfId="1863" builtinId="9" hidden="1"/>
    <cellStyle name="Lien hypertexte visité" xfId="1864" builtinId="9" hidden="1"/>
    <cellStyle name="Lien hypertexte visité" xfId="1865" builtinId="9" hidden="1"/>
    <cellStyle name="Lien hypertexte visité" xfId="1866" builtinId="9" hidden="1"/>
    <cellStyle name="Lien hypertexte visité" xfId="1867" builtinId="9" hidden="1"/>
    <cellStyle name="Lien hypertexte visité" xfId="1868" builtinId="9" hidden="1"/>
    <cellStyle name="Lien hypertexte visité" xfId="1869" builtinId="9" hidden="1"/>
    <cellStyle name="Lien hypertexte visité" xfId="1870" builtinId="9" hidden="1"/>
    <cellStyle name="Lien hypertexte visité" xfId="1871" builtinId="9" hidden="1"/>
    <cellStyle name="Lien hypertexte visité" xfId="1872" builtinId="9" hidden="1"/>
    <cellStyle name="Lien hypertexte visité" xfId="1873" builtinId="9" hidden="1"/>
    <cellStyle name="Lien hypertexte visité" xfId="1874" builtinId="9" hidden="1"/>
    <cellStyle name="Lien hypertexte visité" xfId="1875" builtinId="9" hidden="1"/>
    <cellStyle name="Lien hypertexte visité" xfId="1876" builtinId="9" hidden="1"/>
    <cellStyle name="Lien hypertexte visité" xfId="1877" builtinId="9" hidden="1"/>
    <cellStyle name="Lien hypertexte visité" xfId="1878" builtinId="9" hidden="1"/>
    <cellStyle name="Lien hypertexte visité" xfId="1879" builtinId="9" hidden="1"/>
    <cellStyle name="Lien hypertexte visité" xfId="1880" builtinId="9" hidden="1"/>
    <cellStyle name="Lien hypertexte visité" xfId="1881" builtinId="9" hidden="1"/>
    <cellStyle name="Lien hypertexte visité" xfId="1882" builtinId="9" hidden="1"/>
    <cellStyle name="Lien hypertexte visité" xfId="1883" builtinId="9" hidden="1"/>
    <cellStyle name="Lien hypertexte visité" xfId="1884" builtinId="9" hidden="1"/>
    <cellStyle name="Lien hypertexte visité" xfId="1885" builtinId="9" hidden="1"/>
    <cellStyle name="Lien hypertexte visité" xfId="1886" builtinId="9" hidden="1"/>
    <cellStyle name="Lien hypertexte visité" xfId="1887" builtinId="9" hidden="1"/>
    <cellStyle name="Lien hypertexte visité" xfId="1888" builtinId="9" hidden="1"/>
    <cellStyle name="Lien hypertexte visité" xfId="1889" builtinId="9" hidden="1"/>
    <cellStyle name="Lien hypertexte visité" xfId="1890" builtinId="9" hidden="1"/>
    <cellStyle name="Lien hypertexte visité" xfId="1891" builtinId="9" hidden="1"/>
    <cellStyle name="Lien hypertexte visité" xfId="1892" builtinId="9" hidden="1"/>
    <cellStyle name="Lien hypertexte visité" xfId="1893" builtinId="9" hidden="1"/>
    <cellStyle name="Lien hypertexte visité" xfId="1894" builtinId="9" hidden="1"/>
    <cellStyle name="Lien hypertexte visité" xfId="1895" builtinId="9" hidden="1"/>
    <cellStyle name="Lien hypertexte visité" xfId="1896" builtinId="9" hidden="1"/>
    <cellStyle name="Lien hypertexte visité" xfId="1897" builtinId="9" hidden="1"/>
    <cellStyle name="Lien hypertexte visité" xfId="1898" builtinId="9" hidden="1"/>
    <cellStyle name="Lien hypertexte visité" xfId="1899" builtinId="9" hidden="1"/>
    <cellStyle name="Lien hypertexte visité" xfId="1900" builtinId="9" hidden="1"/>
    <cellStyle name="Lien hypertexte visité" xfId="1901" builtinId="9" hidden="1"/>
    <cellStyle name="Lien hypertexte visité" xfId="1902" builtinId="9" hidden="1"/>
    <cellStyle name="Lien hypertexte visité" xfId="1903" builtinId="9" hidden="1"/>
    <cellStyle name="Lien hypertexte visité" xfId="1904" builtinId="9" hidden="1"/>
    <cellStyle name="Lien hypertexte visité" xfId="1905" builtinId="9" hidden="1"/>
    <cellStyle name="Lien hypertexte visité" xfId="1906" builtinId="9" hidden="1"/>
    <cellStyle name="Lien hypertexte visité" xfId="1907" builtinId="9" hidden="1"/>
    <cellStyle name="Lien hypertexte visité" xfId="1908" builtinId="9" hidden="1"/>
    <cellStyle name="Lien hypertexte visité" xfId="1909" builtinId="9" hidden="1"/>
    <cellStyle name="Lien hypertexte visité" xfId="1910" builtinId="9" hidden="1"/>
    <cellStyle name="Normal" xfId="0" builtinId="0"/>
    <cellStyle name="Normal_emprunts_annees" xfId="1639"/>
    <cellStyle name="Pourcentage" xfId="1" builtinId="5"/>
  </cellStyles>
  <dxfs count="1">
    <dxf>
      <font>
        <name val="Arial Narrow"/>
        <scheme val="none"/>
      </font>
    </dxf>
  </dxfs>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pivotCacheDefinition" Target="pivotCache/pivotCacheDefinition2.xml"/><Relationship Id="rId21" Type="http://schemas.openxmlformats.org/officeDocument/2006/relationships/theme" Target="theme/theme1.xml"/><Relationship Id="rId22" Type="http://schemas.openxmlformats.org/officeDocument/2006/relationships/styles" Target="styles.xml"/><Relationship Id="rId23" Type="http://schemas.openxmlformats.org/officeDocument/2006/relationships/sharedStrings" Target="sharedStrings.xml"/><Relationship Id="rId24"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chartsheet" Target="chartsheets/sheet1.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pivotCacheDefinition" Target="pivotCache/pivotCacheDefinition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t>Intérêts</a:t>
            </a:r>
          </a:p>
        </c:rich>
      </c:tx>
      <c:layout/>
      <c:overlay val="1"/>
    </c:title>
    <c:autoTitleDeleted val="0"/>
    <c:plotArea>
      <c:layout/>
      <c:barChart>
        <c:barDir val="col"/>
        <c:grouping val="stacked"/>
        <c:varyColors val="0"/>
        <c:ser>
          <c:idx val="1"/>
          <c:order val="0"/>
          <c:tx>
            <c:strRef>
              <c:f>totaux!$B$4</c:f>
              <c:strCache>
                <c:ptCount val="1"/>
                <c:pt idx="0">
                  <c:v>Livr_A</c:v>
                </c:pt>
              </c:strCache>
            </c:strRef>
          </c:tx>
          <c:spPr>
            <a:solidFill>
              <a:srgbClr val="FF0000"/>
            </a:solidFill>
            <a:ln>
              <a:solidFill>
                <a:schemeClr val="bg1"/>
              </a:solidFill>
            </a:ln>
          </c:spPr>
          <c:invertIfNegative val="0"/>
          <c:cat>
            <c:numRef>
              <c:f>totaux!$A$5:$A$23</c:f>
              <c:numCache>
                <c:formatCode>General</c:formatCode>
                <c:ptCount val="19"/>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numCache>
            </c:numRef>
          </c:cat>
          <c:val>
            <c:numRef>
              <c:f>totaux!$B$5:$B$23</c:f>
              <c:numCache>
                <c:formatCode>#,##0</c:formatCode>
                <c:ptCount val="19"/>
                <c:pt idx="0">
                  <c:v>0.0</c:v>
                </c:pt>
                <c:pt idx="1">
                  <c:v>0.0</c:v>
                </c:pt>
                <c:pt idx="2">
                  <c:v>0.0</c:v>
                </c:pt>
                <c:pt idx="3">
                  <c:v>322734.28</c:v>
                </c:pt>
                <c:pt idx="4">
                  <c:v>456620.7</c:v>
                </c:pt>
                <c:pt idx="5">
                  <c:v>373025.14</c:v>
                </c:pt>
                <c:pt idx="6">
                  <c:v>176311.1</c:v>
                </c:pt>
                <c:pt idx="7">
                  <c:v>160245.45</c:v>
                </c:pt>
                <c:pt idx="8">
                  <c:v>46731.76</c:v>
                </c:pt>
                <c:pt idx="9">
                  <c:v>56219.89</c:v>
                </c:pt>
                <c:pt idx="10">
                  <c:v>37990.35</c:v>
                </c:pt>
                <c:pt idx="11">
                  <c:v>17740.57</c:v>
                </c:pt>
                <c:pt idx="12">
                  <c:v>27029.84</c:v>
                </c:pt>
                <c:pt idx="13">
                  <c:v>27029.84</c:v>
                </c:pt>
                <c:pt idx="14">
                  <c:v>19125.07</c:v>
                </c:pt>
                <c:pt idx="15">
                  <c:v>12246.08</c:v>
                </c:pt>
                <c:pt idx="16">
                  <c:v>61288.02</c:v>
                </c:pt>
                <c:pt idx="17">
                  <c:v>71685.53</c:v>
                </c:pt>
                <c:pt idx="18">
                  <c:v>66009.2</c:v>
                </c:pt>
              </c:numCache>
            </c:numRef>
          </c:val>
        </c:ser>
        <c:ser>
          <c:idx val="2"/>
          <c:order val="1"/>
          <c:tx>
            <c:strRef>
              <c:f>totaux!$C$4</c:f>
              <c:strCache>
                <c:ptCount val="1"/>
                <c:pt idx="0">
                  <c:v>Non_st</c:v>
                </c:pt>
              </c:strCache>
            </c:strRef>
          </c:tx>
          <c:spPr>
            <a:solidFill>
              <a:srgbClr val="008000"/>
            </a:solidFill>
            <a:ln>
              <a:solidFill>
                <a:schemeClr val="bg1"/>
              </a:solidFill>
            </a:ln>
          </c:spPr>
          <c:invertIfNegative val="0"/>
          <c:cat>
            <c:numRef>
              <c:f>totaux!$A$5:$A$23</c:f>
              <c:numCache>
                <c:formatCode>General</c:formatCode>
                <c:ptCount val="19"/>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numCache>
            </c:numRef>
          </c:cat>
          <c:val>
            <c:numRef>
              <c:f>totaux!$C$5:$C$23</c:f>
              <c:numCache>
                <c:formatCode>#,##0</c:formatCode>
                <c:ptCount val="19"/>
                <c:pt idx="0">
                  <c:v>0.0</c:v>
                </c:pt>
                <c:pt idx="1">
                  <c:v>80371.93321105058</c:v>
                </c:pt>
                <c:pt idx="2">
                  <c:v>105637.61</c:v>
                </c:pt>
                <c:pt idx="3">
                  <c:v>496561.91</c:v>
                </c:pt>
                <c:pt idx="4">
                  <c:v>415964.9500000001</c:v>
                </c:pt>
                <c:pt idx="5">
                  <c:v>352984.72</c:v>
                </c:pt>
                <c:pt idx="6">
                  <c:v>391549.46</c:v>
                </c:pt>
                <c:pt idx="7">
                  <c:v>852376.3</c:v>
                </c:pt>
                <c:pt idx="8">
                  <c:v>537475.3</c:v>
                </c:pt>
                <c:pt idx="9">
                  <c:v>554397.88</c:v>
                </c:pt>
                <c:pt idx="10">
                  <c:v>584941.7817304415</c:v>
                </c:pt>
                <c:pt idx="11">
                  <c:v>828762.23</c:v>
                </c:pt>
                <c:pt idx="12">
                  <c:v>1.12985754E6</c:v>
                </c:pt>
                <c:pt idx="13">
                  <c:v>1.38394368E6</c:v>
                </c:pt>
                <c:pt idx="14">
                  <c:v>2.35658726E6</c:v>
                </c:pt>
                <c:pt idx="15">
                  <c:v>3.15195679E6</c:v>
                </c:pt>
                <c:pt idx="16">
                  <c:v>3.1603408E6</c:v>
                </c:pt>
                <c:pt idx="17">
                  <c:v>3.67806455E6</c:v>
                </c:pt>
                <c:pt idx="18">
                  <c:v>3.88575183E6</c:v>
                </c:pt>
              </c:numCache>
            </c:numRef>
          </c:val>
        </c:ser>
        <c:ser>
          <c:idx val="3"/>
          <c:order val="2"/>
          <c:tx>
            <c:strRef>
              <c:f>totaux!$D$4</c:f>
              <c:strCache>
                <c:ptCount val="1"/>
                <c:pt idx="0">
                  <c:v>Restr_aidé</c:v>
                </c:pt>
              </c:strCache>
            </c:strRef>
          </c:tx>
          <c:spPr>
            <a:solidFill>
              <a:srgbClr val="800000"/>
            </a:solidFill>
            <a:ln>
              <a:solidFill>
                <a:schemeClr val="bg1"/>
              </a:solidFill>
            </a:ln>
          </c:spPr>
          <c:invertIfNegative val="0"/>
          <c:cat>
            <c:numRef>
              <c:f>totaux!$A$5:$A$23</c:f>
              <c:numCache>
                <c:formatCode>General</c:formatCode>
                <c:ptCount val="19"/>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numCache>
            </c:numRef>
          </c:cat>
          <c:val>
            <c:numRef>
              <c:f>totaux!$D$5:$D$23</c:f>
              <c:numCache>
                <c:formatCode>#,##0</c:formatCode>
                <c:ptCount val="19"/>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1.77626493E6</c:v>
                </c:pt>
                <c:pt idx="16">
                  <c:v>2.36916384E6</c:v>
                </c:pt>
                <c:pt idx="17">
                  <c:v>2.84888954E6</c:v>
                </c:pt>
                <c:pt idx="18">
                  <c:v>3.57221028E6</c:v>
                </c:pt>
              </c:numCache>
            </c:numRef>
          </c:val>
        </c:ser>
        <c:ser>
          <c:idx val="4"/>
          <c:order val="3"/>
          <c:tx>
            <c:strRef>
              <c:f>totaux!$E$4</c:f>
              <c:strCache>
                <c:ptCount val="1"/>
                <c:pt idx="0">
                  <c:v>Restr_sec</c:v>
                </c:pt>
              </c:strCache>
            </c:strRef>
          </c:tx>
          <c:spPr>
            <a:solidFill>
              <a:srgbClr val="FF6600"/>
            </a:solidFill>
            <a:ln>
              <a:solidFill>
                <a:schemeClr val="bg1"/>
              </a:solidFill>
            </a:ln>
          </c:spPr>
          <c:invertIfNegative val="0"/>
          <c:cat>
            <c:numRef>
              <c:f>totaux!$A$5:$A$23</c:f>
              <c:numCache>
                <c:formatCode>General</c:formatCode>
                <c:ptCount val="19"/>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numCache>
            </c:numRef>
          </c:cat>
          <c:val>
            <c:numRef>
              <c:f>totaux!$E$5:$E$23</c:f>
              <c:numCache>
                <c:formatCode>#,##0</c:formatCode>
                <c:ptCount val="19"/>
                <c:pt idx="0">
                  <c:v>0.0</c:v>
                </c:pt>
                <c:pt idx="1">
                  <c:v>0.0</c:v>
                </c:pt>
                <c:pt idx="2">
                  <c:v>0.0</c:v>
                </c:pt>
                <c:pt idx="3">
                  <c:v>0.0</c:v>
                </c:pt>
                <c:pt idx="4">
                  <c:v>0.0</c:v>
                </c:pt>
                <c:pt idx="5">
                  <c:v>0.0</c:v>
                </c:pt>
                <c:pt idx="6">
                  <c:v>0.0</c:v>
                </c:pt>
                <c:pt idx="7">
                  <c:v>0.0</c:v>
                </c:pt>
                <c:pt idx="8">
                  <c:v>0.0</c:v>
                </c:pt>
                <c:pt idx="9">
                  <c:v>0.0</c:v>
                </c:pt>
                <c:pt idx="10">
                  <c:v>231589.29</c:v>
                </c:pt>
                <c:pt idx="11">
                  <c:v>391585.2</c:v>
                </c:pt>
                <c:pt idx="12">
                  <c:v>794877.52</c:v>
                </c:pt>
                <c:pt idx="13">
                  <c:v>930236.93</c:v>
                </c:pt>
                <c:pt idx="14">
                  <c:v>2.68186683E6</c:v>
                </c:pt>
                <c:pt idx="15">
                  <c:v>3.55323775E6</c:v>
                </c:pt>
                <c:pt idx="16">
                  <c:v>3.40425532E6</c:v>
                </c:pt>
                <c:pt idx="17">
                  <c:v>3.22286852E6</c:v>
                </c:pt>
                <c:pt idx="18">
                  <c:v>3.02315689E6</c:v>
                </c:pt>
              </c:numCache>
            </c:numRef>
          </c:val>
        </c:ser>
        <c:ser>
          <c:idx val="5"/>
          <c:order val="4"/>
          <c:tx>
            <c:strRef>
              <c:f>totaux!$F$4</c:f>
              <c:strCache>
                <c:ptCount val="1"/>
                <c:pt idx="0">
                  <c:v>Struct</c:v>
                </c:pt>
              </c:strCache>
            </c:strRef>
          </c:tx>
          <c:spPr>
            <a:solidFill>
              <a:srgbClr val="660066"/>
            </a:solidFill>
            <a:ln>
              <a:solidFill>
                <a:schemeClr val="bg1"/>
              </a:solidFill>
            </a:ln>
          </c:spPr>
          <c:invertIfNegative val="0"/>
          <c:cat>
            <c:numRef>
              <c:f>totaux!$A$5:$A$23</c:f>
              <c:numCache>
                <c:formatCode>General</c:formatCode>
                <c:ptCount val="19"/>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numCache>
            </c:numRef>
          </c:cat>
          <c:val>
            <c:numRef>
              <c:f>totaux!$F$5:$F$23</c:f>
              <c:numCache>
                <c:formatCode>#,##0</c:formatCode>
                <c:ptCount val="19"/>
                <c:pt idx="0">
                  <c:v>0.0</c:v>
                </c:pt>
                <c:pt idx="1">
                  <c:v>0.0</c:v>
                </c:pt>
                <c:pt idx="2">
                  <c:v>1.05031184E6</c:v>
                </c:pt>
                <c:pt idx="3">
                  <c:v>3.33129843E6</c:v>
                </c:pt>
                <c:pt idx="4">
                  <c:v>3.91913083E6</c:v>
                </c:pt>
                <c:pt idx="5">
                  <c:v>4.77681078E6</c:v>
                </c:pt>
                <c:pt idx="6">
                  <c:v>4.58073641E6</c:v>
                </c:pt>
                <c:pt idx="7">
                  <c:v>5.99092795E6</c:v>
                </c:pt>
                <c:pt idx="8">
                  <c:v>5.95207727E6</c:v>
                </c:pt>
                <c:pt idx="9">
                  <c:v>5.54526647E6</c:v>
                </c:pt>
                <c:pt idx="10">
                  <c:v>5.35186356E6</c:v>
                </c:pt>
                <c:pt idx="11">
                  <c:v>5.9494947E6</c:v>
                </c:pt>
                <c:pt idx="12">
                  <c:v>1.085391507E7</c:v>
                </c:pt>
                <c:pt idx="13">
                  <c:v>5.88656207E6</c:v>
                </c:pt>
                <c:pt idx="14">
                  <c:v>5.93717227E6</c:v>
                </c:pt>
                <c:pt idx="15">
                  <c:v>3.57568181E6</c:v>
                </c:pt>
                <c:pt idx="16">
                  <c:v>3.13772107E6</c:v>
                </c:pt>
                <c:pt idx="17">
                  <c:v>2.30488313E6</c:v>
                </c:pt>
                <c:pt idx="18">
                  <c:v>1.84299648E6</c:v>
                </c:pt>
              </c:numCache>
            </c:numRef>
          </c:val>
        </c:ser>
        <c:ser>
          <c:idx val="0"/>
          <c:order val="5"/>
          <c:tx>
            <c:strRef>
              <c:f>totaux!$G$4</c:f>
              <c:strCache>
                <c:ptCount val="1"/>
                <c:pt idx="0">
                  <c:v>vx</c:v>
                </c:pt>
              </c:strCache>
            </c:strRef>
          </c:tx>
          <c:spPr>
            <a:solidFill>
              <a:srgbClr val="3366FF"/>
            </a:solidFill>
            <a:ln>
              <a:solidFill>
                <a:schemeClr val="bg1"/>
              </a:solidFill>
            </a:ln>
          </c:spPr>
          <c:invertIfNegative val="0"/>
          <c:cat>
            <c:numRef>
              <c:f>totaux!$A$5:$A$23</c:f>
              <c:numCache>
                <c:formatCode>General</c:formatCode>
                <c:ptCount val="19"/>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numCache>
            </c:numRef>
          </c:cat>
          <c:val>
            <c:numRef>
              <c:f>totaux!$G$5:$G$23</c:f>
              <c:numCache>
                <c:formatCode>#,##0</c:formatCode>
                <c:ptCount val="19"/>
                <c:pt idx="0">
                  <c:v>9.62541205781138E6</c:v>
                </c:pt>
                <c:pt idx="1">
                  <c:v>1.00695923684584E7</c:v>
                </c:pt>
                <c:pt idx="2">
                  <c:v>8.65550088E6</c:v>
                </c:pt>
                <c:pt idx="3">
                  <c:v>4.59356816E6</c:v>
                </c:pt>
                <c:pt idx="4">
                  <c:v>2.69037543E6</c:v>
                </c:pt>
                <c:pt idx="5">
                  <c:v>1.90532965E6</c:v>
                </c:pt>
                <c:pt idx="6">
                  <c:v>757340.5499999999</c:v>
                </c:pt>
                <c:pt idx="7">
                  <c:v>369205.9999999964</c:v>
                </c:pt>
                <c:pt idx="8">
                  <c:v>54850.43000000002</c:v>
                </c:pt>
                <c:pt idx="10">
                  <c:v>-50466.57173044153</c:v>
                </c:pt>
                <c:pt idx="11">
                  <c:v>0.0</c:v>
                </c:pt>
                <c:pt idx="12">
                  <c:v>0.0</c:v>
                </c:pt>
                <c:pt idx="13">
                  <c:v>0.0</c:v>
                </c:pt>
                <c:pt idx="14">
                  <c:v>0.0</c:v>
                </c:pt>
                <c:pt idx="15">
                  <c:v>0.0</c:v>
                </c:pt>
                <c:pt idx="16">
                  <c:v>0.0</c:v>
                </c:pt>
                <c:pt idx="17">
                  <c:v>0.0</c:v>
                </c:pt>
                <c:pt idx="18">
                  <c:v>0.0</c:v>
                </c:pt>
              </c:numCache>
            </c:numRef>
          </c:val>
        </c:ser>
        <c:dLbls>
          <c:showLegendKey val="0"/>
          <c:showVal val="0"/>
          <c:showCatName val="0"/>
          <c:showSerName val="0"/>
          <c:showPercent val="0"/>
          <c:showBubbleSize val="0"/>
        </c:dLbls>
        <c:gapWidth val="50"/>
        <c:overlap val="100"/>
        <c:axId val="1579092472"/>
        <c:axId val="1579095672"/>
      </c:barChart>
      <c:catAx>
        <c:axId val="1579092472"/>
        <c:scaling>
          <c:orientation val="minMax"/>
        </c:scaling>
        <c:delete val="0"/>
        <c:axPos val="b"/>
        <c:numFmt formatCode="General" sourceLinked="1"/>
        <c:majorTickMark val="none"/>
        <c:minorTickMark val="none"/>
        <c:tickLblPos val="nextTo"/>
        <c:crossAx val="1579095672"/>
        <c:crosses val="autoZero"/>
        <c:auto val="1"/>
        <c:lblAlgn val="ctr"/>
        <c:lblOffset val="100"/>
        <c:noMultiLvlLbl val="0"/>
      </c:catAx>
      <c:valAx>
        <c:axId val="1579095672"/>
        <c:scaling>
          <c:orientation val="minMax"/>
          <c:min val="0.0"/>
        </c:scaling>
        <c:delete val="0"/>
        <c:axPos val="l"/>
        <c:majorGridlines/>
        <c:numFmt formatCode="#,##0" sourceLinked="1"/>
        <c:majorTickMark val="none"/>
        <c:minorTickMark val="none"/>
        <c:tickLblPos val="nextTo"/>
        <c:txPr>
          <a:bodyPr/>
          <a:lstStyle/>
          <a:p>
            <a:pPr>
              <a:defRPr sz="1200"/>
            </a:pPr>
            <a:endParaRPr lang="fr-FR"/>
          </a:p>
        </c:txPr>
        <c:crossAx val="1579092472"/>
        <c:crosses val="autoZero"/>
        <c:crossBetween val="between"/>
      </c:valAx>
      <c:spPr>
        <a:ln>
          <a:solidFill>
            <a:schemeClr val="tx1">
              <a:lumMod val="50000"/>
              <a:lumOff val="50000"/>
            </a:schemeClr>
          </a:solidFill>
        </a:ln>
      </c:spPr>
    </c:plotArea>
    <c:legend>
      <c:legendPos val="r"/>
      <c:layout/>
      <c:overlay val="0"/>
      <c:txPr>
        <a:bodyPr/>
        <a:lstStyle/>
        <a:p>
          <a:pPr>
            <a:defRPr sz="1100"/>
          </a:pPr>
          <a:endParaRPr lang="fr-FR"/>
        </a:p>
      </c:txPr>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t>Encours moyens annuels</a:t>
            </a:r>
          </a:p>
        </c:rich>
      </c:tx>
      <c:layout/>
      <c:overlay val="1"/>
    </c:title>
    <c:autoTitleDeleted val="0"/>
    <c:plotArea>
      <c:layout/>
      <c:barChart>
        <c:barDir val="col"/>
        <c:grouping val="stacked"/>
        <c:varyColors val="0"/>
        <c:ser>
          <c:idx val="1"/>
          <c:order val="0"/>
          <c:tx>
            <c:strRef>
              <c:f>totaux!$S$4</c:f>
              <c:strCache>
                <c:ptCount val="1"/>
                <c:pt idx="0">
                  <c:v>Livr_A</c:v>
                </c:pt>
              </c:strCache>
            </c:strRef>
          </c:tx>
          <c:spPr>
            <a:solidFill>
              <a:srgbClr val="FF0000"/>
            </a:solidFill>
            <a:ln>
              <a:solidFill>
                <a:schemeClr val="bg1"/>
              </a:solidFill>
            </a:ln>
          </c:spPr>
          <c:invertIfNegative val="0"/>
          <c:cat>
            <c:numRef>
              <c:f>totaux!$A$5:$A$23</c:f>
              <c:numCache>
                <c:formatCode>General</c:formatCode>
                <c:ptCount val="19"/>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numCache>
            </c:numRef>
          </c:cat>
          <c:val>
            <c:numRef>
              <c:f>totaux!$S$5:$S$23</c:f>
              <c:numCache>
                <c:formatCode>#,##0</c:formatCode>
                <c:ptCount val="19"/>
                <c:pt idx="0">
                  <c:v>0.0</c:v>
                </c:pt>
                <c:pt idx="1">
                  <c:v>0.0</c:v>
                </c:pt>
                <c:pt idx="2">
                  <c:v>5.49541406575342E6</c:v>
                </c:pt>
                <c:pt idx="3">
                  <c:v>1.09028106335342E7</c:v>
                </c:pt>
                <c:pt idx="4">
                  <c:v>1.062451891E7</c:v>
                </c:pt>
                <c:pt idx="5">
                  <c:v>8.07790335780822E6</c:v>
                </c:pt>
                <c:pt idx="6">
                  <c:v>5.61718226060274E6</c:v>
                </c:pt>
                <c:pt idx="7">
                  <c:v>3.58918567978082E6</c:v>
                </c:pt>
                <c:pt idx="8">
                  <c:v>1.65281014E6</c:v>
                </c:pt>
                <c:pt idx="9">
                  <c:v>1.55866630471233E6</c:v>
                </c:pt>
                <c:pt idx="10">
                  <c:v>1.46540409956164E6</c:v>
                </c:pt>
                <c:pt idx="11">
                  <c:v>1.36032990991781E6</c:v>
                </c:pt>
                <c:pt idx="12">
                  <c:v>1.25525553E6</c:v>
                </c:pt>
                <c:pt idx="13">
                  <c:v>1.14395075315068E6</c:v>
                </c:pt>
                <c:pt idx="14">
                  <c:v>1.03343522224658E6</c:v>
                </c:pt>
                <c:pt idx="15">
                  <c:v>918561.9631232876</c:v>
                </c:pt>
                <c:pt idx="16">
                  <c:v>5.47457597E6</c:v>
                </c:pt>
                <c:pt idx="17">
                  <c:v>5.06061764427397E6</c:v>
                </c:pt>
                <c:pt idx="18">
                  <c:v>4.62040870449315E6</c:v>
                </c:pt>
              </c:numCache>
            </c:numRef>
          </c:val>
        </c:ser>
        <c:ser>
          <c:idx val="2"/>
          <c:order val="1"/>
          <c:tx>
            <c:strRef>
              <c:f>totaux!$T$4</c:f>
              <c:strCache>
                <c:ptCount val="1"/>
                <c:pt idx="0">
                  <c:v>Non_st</c:v>
                </c:pt>
              </c:strCache>
            </c:strRef>
          </c:tx>
          <c:spPr>
            <a:solidFill>
              <a:srgbClr val="008000"/>
            </a:solidFill>
            <a:ln>
              <a:solidFill>
                <a:schemeClr val="bg1"/>
              </a:solidFill>
            </a:ln>
          </c:spPr>
          <c:invertIfNegative val="0"/>
          <c:cat>
            <c:numRef>
              <c:f>totaux!$A$5:$A$23</c:f>
              <c:numCache>
                <c:formatCode>General</c:formatCode>
                <c:ptCount val="19"/>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numCache>
            </c:numRef>
          </c:cat>
          <c:val>
            <c:numRef>
              <c:f>totaux!$T$5:$T$23</c:f>
              <c:numCache>
                <c:formatCode>#,##0</c:formatCode>
                <c:ptCount val="19"/>
                <c:pt idx="0">
                  <c:v>0.0</c:v>
                </c:pt>
                <c:pt idx="1">
                  <c:v>1.92253767798239E6</c:v>
                </c:pt>
                <c:pt idx="2">
                  <c:v>5.88985137753425E6</c:v>
                </c:pt>
                <c:pt idx="3">
                  <c:v>9.31134128579452E6</c:v>
                </c:pt>
                <c:pt idx="4">
                  <c:v>1.01109547859589E7</c:v>
                </c:pt>
                <c:pt idx="5">
                  <c:v>1.23669074942466E7</c:v>
                </c:pt>
                <c:pt idx="6">
                  <c:v>2.06676658394658E7</c:v>
                </c:pt>
                <c:pt idx="7">
                  <c:v>2.79100704737534E7</c:v>
                </c:pt>
                <c:pt idx="8">
                  <c:v>1.31146648569178E7</c:v>
                </c:pt>
                <c:pt idx="9">
                  <c:v>1.43815727099863E7</c:v>
                </c:pt>
                <c:pt idx="10">
                  <c:v>2.85695007207123E7</c:v>
                </c:pt>
                <c:pt idx="11">
                  <c:v>3.69617549390411E7</c:v>
                </c:pt>
                <c:pt idx="12">
                  <c:v>5.58534346566712E7</c:v>
                </c:pt>
                <c:pt idx="13">
                  <c:v>6.68377234052603E7</c:v>
                </c:pt>
                <c:pt idx="14">
                  <c:v>7.83332871302466E7</c:v>
                </c:pt>
                <c:pt idx="15">
                  <c:v>1.02573520568164E8</c:v>
                </c:pt>
                <c:pt idx="16">
                  <c:v>1.04372872140521E8</c:v>
                </c:pt>
                <c:pt idx="17">
                  <c:v>1.12874877499397E8</c:v>
                </c:pt>
                <c:pt idx="18">
                  <c:v>1.26063025840931E8</c:v>
                </c:pt>
              </c:numCache>
            </c:numRef>
          </c:val>
        </c:ser>
        <c:ser>
          <c:idx val="3"/>
          <c:order val="2"/>
          <c:tx>
            <c:strRef>
              <c:f>totaux!$U$4</c:f>
              <c:strCache>
                <c:ptCount val="1"/>
                <c:pt idx="0">
                  <c:v>Restr_aidé</c:v>
                </c:pt>
              </c:strCache>
            </c:strRef>
          </c:tx>
          <c:spPr>
            <a:solidFill>
              <a:srgbClr val="800000"/>
            </a:solidFill>
            <a:ln>
              <a:solidFill>
                <a:schemeClr val="bg1"/>
              </a:solidFill>
            </a:ln>
          </c:spPr>
          <c:invertIfNegative val="0"/>
          <c:cat>
            <c:numRef>
              <c:f>totaux!$A$5:$A$23</c:f>
              <c:numCache>
                <c:formatCode>General</c:formatCode>
                <c:ptCount val="19"/>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numCache>
            </c:numRef>
          </c:cat>
          <c:val>
            <c:numRef>
              <c:f>totaux!$U$5:$U$23</c:f>
              <c:numCache>
                <c:formatCode>#,##0</c:formatCode>
                <c:ptCount val="19"/>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2.50782631780822E7</c:v>
                </c:pt>
                <c:pt idx="15">
                  <c:v>4.86610470556712E7</c:v>
                </c:pt>
                <c:pt idx="16">
                  <c:v>5.71663688941781E7</c:v>
                </c:pt>
                <c:pt idx="17">
                  <c:v>7.32947118419726E7</c:v>
                </c:pt>
                <c:pt idx="18">
                  <c:v>9.34142663202192E7</c:v>
                </c:pt>
              </c:numCache>
            </c:numRef>
          </c:val>
        </c:ser>
        <c:ser>
          <c:idx val="4"/>
          <c:order val="3"/>
          <c:tx>
            <c:strRef>
              <c:f>totaux!$V$4</c:f>
              <c:strCache>
                <c:ptCount val="1"/>
                <c:pt idx="0">
                  <c:v>Restr_sec</c:v>
                </c:pt>
              </c:strCache>
            </c:strRef>
          </c:tx>
          <c:spPr>
            <a:solidFill>
              <a:srgbClr val="FF6600"/>
            </a:solidFill>
            <a:ln>
              <a:solidFill>
                <a:schemeClr val="bg1"/>
              </a:solidFill>
            </a:ln>
          </c:spPr>
          <c:invertIfNegative val="0"/>
          <c:cat>
            <c:numRef>
              <c:f>totaux!$A$5:$A$23</c:f>
              <c:numCache>
                <c:formatCode>General</c:formatCode>
                <c:ptCount val="19"/>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numCache>
            </c:numRef>
          </c:cat>
          <c:val>
            <c:numRef>
              <c:f>totaux!$V$5:$V$23</c:f>
              <c:numCache>
                <c:formatCode>#,##0</c:formatCode>
                <c:ptCount val="19"/>
                <c:pt idx="0">
                  <c:v>0.0</c:v>
                </c:pt>
                <c:pt idx="1">
                  <c:v>0.0</c:v>
                </c:pt>
                <c:pt idx="2">
                  <c:v>0.0</c:v>
                </c:pt>
                <c:pt idx="3">
                  <c:v>0.0</c:v>
                </c:pt>
                <c:pt idx="4">
                  <c:v>0.0</c:v>
                </c:pt>
                <c:pt idx="5">
                  <c:v>0.0</c:v>
                </c:pt>
                <c:pt idx="6">
                  <c:v>0.0</c:v>
                </c:pt>
                <c:pt idx="7">
                  <c:v>0.0</c:v>
                </c:pt>
                <c:pt idx="8">
                  <c:v>0.0</c:v>
                </c:pt>
                <c:pt idx="9">
                  <c:v>438777.0739726027</c:v>
                </c:pt>
                <c:pt idx="10">
                  <c:v>5.14716768767123E6</c:v>
                </c:pt>
                <c:pt idx="11">
                  <c:v>8.42479953632877E6</c:v>
                </c:pt>
                <c:pt idx="12">
                  <c:v>8.82212534363014E6</c:v>
                </c:pt>
                <c:pt idx="13">
                  <c:v>2.8811904810726E7</c:v>
                </c:pt>
                <c:pt idx="14">
                  <c:v>6.67329394231781E7</c:v>
                </c:pt>
                <c:pt idx="15">
                  <c:v>6.66000506546301E7</c:v>
                </c:pt>
                <c:pt idx="16">
                  <c:v>7.1596523E7</c:v>
                </c:pt>
                <c:pt idx="17">
                  <c:v>6.77376394140274E7</c:v>
                </c:pt>
                <c:pt idx="18">
                  <c:v>6.7888611885863E7</c:v>
                </c:pt>
              </c:numCache>
            </c:numRef>
          </c:val>
        </c:ser>
        <c:ser>
          <c:idx val="5"/>
          <c:order val="4"/>
          <c:tx>
            <c:strRef>
              <c:f>totaux!$W$4</c:f>
              <c:strCache>
                <c:ptCount val="1"/>
                <c:pt idx="0">
                  <c:v>Struct</c:v>
                </c:pt>
              </c:strCache>
            </c:strRef>
          </c:tx>
          <c:spPr>
            <a:solidFill>
              <a:srgbClr val="660066"/>
            </a:solidFill>
            <a:ln>
              <a:solidFill>
                <a:schemeClr val="bg1"/>
              </a:solidFill>
            </a:ln>
          </c:spPr>
          <c:invertIfNegative val="0"/>
          <c:cat>
            <c:numRef>
              <c:f>totaux!$A$5:$A$23</c:f>
              <c:numCache>
                <c:formatCode>General</c:formatCode>
                <c:ptCount val="19"/>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numCache>
            </c:numRef>
          </c:cat>
          <c:val>
            <c:numRef>
              <c:f>totaux!$W$5:$W$23</c:f>
              <c:numCache>
                <c:formatCode>#,##0</c:formatCode>
                <c:ptCount val="19"/>
                <c:pt idx="0">
                  <c:v>0.0</c:v>
                </c:pt>
                <c:pt idx="1">
                  <c:v>292412.556270358</c:v>
                </c:pt>
                <c:pt idx="2">
                  <c:v>5.47304315631781E7</c:v>
                </c:pt>
                <c:pt idx="3">
                  <c:v>9.91288099519726E7</c:v>
                </c:pt>
                <c:pt idx="4">
                  <c:v>1.20040774244795E8</c:v>
                </c:pt>
                <c:pt idx="5">
                  <c:v>1.4217529430126E8</c:v>
                </c:pt>
                <c:pt idx="6">
                  <c:v>1.47543967457589E8</c:v>
                </c:pt>
                <c:pt idx="7">
                  <c:v>1.81007978737986E8</c:v>
                </c:pt>
                <c:pt idx="8">
                  <c:v>2.12527017550726E8</c:v>
                </c:pt>
                <c:pt idx="9">
                  <c:v>1.93309990914137E8</c:v>
                </c:pt>
                <c:pt idx="10">
                  <c:v>1.79630685817671E8</c:v>
                </c:pt>
                <c:pt idx="11">
                  <c:v>1.67608950578014E8</c:v>
                </c:pt>
                <c:pt idx="12">
                  <c:v>1.73007492139288E8</c:v>
                </c:pt>
                <c:pt idx="13">
                  <c:v>1.50808242113384E8</c:v>
                </c:pt>
                <c:pt idx="14">
                  <c:v>1.08993588569973E8</c:v>
                </c:pt>
                <c:pt idx="15">
                  <c:v>9.38034307721096E7</c:v>
                </c:pt>
                <c:pt idx="16">
                  <c:v>8.18222849211644E7</c:v>
                </c:pt>
                <c:pt idx="17">
                  <c:v>6.16168941528767E7</c:v>
                </c:pt>
                <c:pt idx="18">
                  <c:v>3.32795718996849E7</c:v>
                </c:pt>
              </c:numCache>
            </c:numRef>
          </c:val>
        </c:ser>
        <c:ser>
          <c:idx val="0"/>
          <c:order val="5"/>
          <c:tx>
            <c:strRef>
              <c:f>totaux!$X$4</c:f>
              <c:strCache>
                <c:ptCount val="1"/>
                <c:pt idx="0">
                  <c:v>vx</c:v>
                </c:pt>
              </c:strCache>
            </c:strRef>
          </c:tx>
          <c:spPr>
            <a:solidFill>
              <a:srgbClr val="3366FF"/>
            </a:solidFill>
            <a:ln>
              <a:solidFill>
                <a:schemeClr val="bg1"/>
              </a:solidFill>
            </a:ln>
          </c:spPr>
          <c:invertIfNegative val="0"/>
          <c:cat>
            <c:numRef>
              <c:f>totaux!$A$5:$A$23</c:f>
              <c:numCache>
                <c:formatCode>General</c:formatCode>
                <c:ptCount val="19"/>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numCache>
            </c:numRef>
          </c:cat>
          <c:val>
            <c:numRef>
              <c:f>totaux!$X$5:$X$23</c:f>
              <c:numCache>
                <c:formatCode>#,##0</c:formatCode>
                <c:ptCount val="19"/>
                <c:pt idx="0">
                  <c:v>1.92522752013777E8</c:v>
                </c:pt>
                <c:pt idx="1">
                  <c:v>1.82204312604729E8</c:v>
                </c:pt>
                <c:pt idx="2">
                  <c:v>9.920703699E7</c:v>
                </c:pt>
                <c:pt idx="3">
                  <c:v>5.9930948165E7</c:v>
                </c:pt>
                <c:pt idx="4">
                  <c:v>4.202990038E7</c:v>
                </c:pt>
                <c:pt idx="5">
                  <c:v>2.0644820545E7</c:v>
                </c:pt>
                <c:pt idx="6">
                  <c:v>9.24554446999998E6</c:v>
                </c:pt>
                <c:pt idx="7">
                  <c:v>2.55338805E6</c:v>
                </c:pt>
                <c:pt idx="8">
                  <c:v>706106.2449999941</c:v>
                </c:pt>
                <c:pt idx="10">
                  <c:v>1.080000000307336</c:v>
                </c:pt>
                <c:pt idx="11">
                  <c:v>0.0</c:v>
                </c:pt>
                <c:pt idx="12">
                  <c:v>0.0</c:v>
                </c:pt>
                <c:pt idx="13">
                  <c:v>0.0</c:v>
                </c:pt>
                <c:pt idx="14">
                  <c:v>0.0</c:v>
                </c:pt>
                <c:pt idx="15">
                  <c:v>0.0</c:v>
                </c:pt>
                <c:pt idx="16">
                  <c:v>0.0</c:v>
                </c:pt>
                <c:pt idx="17">
                  <c:v>0.0</c:v>
                </c:pt>
                <c:pt idx="18">
                  <c:v>0.0</c:v>
                </c:pt>
              </c:numCache>
            </c:numRef>
          </c:val>
        </c:ser>
        <c:dLbls>
          <c:showLegendKey val="0"/>
          <c:showVal val="0"/>
          <c:showCatName val="0"/>
          <c:showSerName val="0"/>
          <c:showPercent val="0"/>
          <c:showBubbleSize val="0"/>
        </c:dLbls>
        <c:gapWidth val="50"/>
        <c:overlap val="100"/>
        <c:axId val="1579072008"/>
        <c:axId val="1579075208"/>
      </c:barChart>
      <c:catAx>
        <c:axId val="1579072008"/>
        <c:scaling>
          <c:orientation val="minMax"/>
        </c:scaling>
        <c:delete val="0"/>
        <c:axPos val="b"/>
        <c:numFmt formatCode="General" sourceLinked="1"/>
        <c:majorTickMark val="none"/>
        <c:minorTickMark val="none"/>
        <c:tickLblPos val="nextTo"/>
        <c:crossAx val="1579075208"/>
        <c:crosses val="autoZero"/>
        <c:auto val="1"/>
        <c:lblAlgn val="ctr"/>
        <c:lblOffset val="100"/>
        <c:noMultiLvlLbl val="0"/>
      </c:catAx>
      <c:valAx>
        <c:axId val="1579075208"/>
        <c:scaling>
          <c:orientation val="minMax"/>
          <c:min val="0.0"/>
        </c:scaling>
        <c:delete val="0"/>
        <c:axPos val="l"/>
        <c:majorGridlines/>
        <c:numFmt formatCode="#,##0" sourceLinked="1"/>
        <c:majorTickMark val="none"/>
        <c:minorTickMark val="none"/>
        <c:tickLblPos val="nextTo"/>
        <c:txPr>
          <a:bodyPr/>
          <a:lstStyle/>
          <a:p>
            <a:pPr>
              <a:defRPr sz="1200"/>
            </a:pPr>
            <a:endParaRPr lang="fr-FR"/>
          </a:p>
        </c:txPr>
        <c:crossAx val="1579072008"/>
        <c:crosses val="autoZero"/>
        <c:crossBetween val="between"/>
      </c:valAx>
      <c:spPr>
        <a:ln>
          <a:solidFill>
            <a:schemeClr val="tx1">
              <a:lumMod val="50000"/>
              <a:lumOff val="50000"/>
            </a:schemeClr>
          </a:solidFill>
        </a:ln>
      </c:spPr>
    </c:plotArea>
    <c:legend>
      <c:legendPos val="r"/>
      <c:layout/>
      <c:overlay val="0"/>
      <c:txPr>
        <a:bodyPr/>
        <a:lstStyle/>
        <a:p>
          <a:pPr>
            <a:defRPr sz="1100"/>
          </a:pPr>
          <a:endParaRPr lang="fr-FR"/>
        </a:p>
      </c:txPr>
    </c:legend>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777459842519685"/>
          <c:y val="0.0390516039051604"/>
          <c:w val="0.905409767253358"/>
          <c:h val="0.890246543449851"/>
        </c:manualLayout>
      </c:layout>
      <c:lineChart>
        <c:grouping val="standard"/>
        <c:varyColors val="0"/>
        <c:ser>
          <c:idx val="2"/>
          <c:order val="0"/>
          <c:tx>
            <c:strRef>
              <c:f>totaux!$AG$4</c:f>
              <c:strCache>
                <c:ptCount val="1"/>
                <c:pt idx="0">
                  <c:v>Non_st</c:v>
                </c:pt>
              </c:strCache>
            </c:strRef>
          </c:tx>
          <c:spPr>
            <a:ln w="15875">
              <a:noFill/>
              <a:prstDash val="sysDot"/>
            </a:ln>
          </c:spPr>
          <c:marker>
            <c:symbol val="circle"/>
            <c:size val="9"/>
            <c:spPr>
              <a:solidFill>
                <a:srgbClr val="008000">
                  <a:alpha val="70000"/>
                </a:srgbClr>
              </a:solidFill>
              <a:ln>
                <a:solidFill>
                  <a:srgbClr val="008000"/>
                </a:solidFill>
              </a:ln>
            </c:spPr>
          </c:marker>
          <c:cat>
            <c:numRef>
              <c:f>totaux!$A$5:$A$23</c:f>
              <c:numCache>
                <c:formatCode>General</c:formatCode>
                <c:ptCount val="19"/>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numCache>
            </c:numRef>
          </c:cat>
          <c:val>
            <c:numRef>
              <c:f>totaux!$AG$5:$AG$23</c:f>
              <c:numCache>
                <c:formatCode>0.0%</c:formatCode>
                <c:ptCount val="19"/>
                <c:pt idx="0">
                  <c:v>#N/A</c:v>
                </c:pt>
                <c:pt idx="1">
                  <c:v>#N/A</c:v>
                </c:pt>
                <c:pt idx="2">
                  <c:v>0.0179355306660089</c:v>
                </c:pt>
                <c:pt idx="3">
                  <c:v>0.0533287197578678</c:v>
                </c:pt>
                <c:pt idx="4">
                  <c:v>0.0411400267141587</c:v>
                </c:pt>
                <c:pt idx="5">
                  <c:v>0.0285426829758546</c:v>
                </c:pt>
                <c:pt idx="6">
                  <c:v>0.0189450256764032</c:v>
                </c:pt>
                <c:pt idx="7">
                  <c:v>0.0305400984494673</c:v>
                </c:pt>
                <c:pt idx="8">
                  <c:v>0.0409827704988198</c:v>
                </c:pt>
                <c:pt idx="9">
                  <c:v>0.0385491831234171</c:v>
                </c:pt>
                <c:pt idx="10">
                  <c:v>0.0204743438623122</c:v>
                </c:pt>
                <c:pt idx="11">
                  <c:v>0.0224221558572322</c:v>
                </c:pt>
                <c:pt idx="12">
                  <c:v>0.0202289715385488</c:v>
                </c:pt>
                <c:pt idx="13">
                  <c:v>0.0207060266192592</c:v>
                </c:pt>
                <c:pt idx="14">
                  <c:v>0.0300841104252608</c:v>
                </c:pt>
                <c:pt idx="15">
                  <c:v>0.0307287570178055</c:v>
                </c:pt>
                <c:pt idx="16">
                  <c:v>0.0302793315464686</c:v>
                </c:pt>
                <c:pt idx="17">
                  <c:v>0.0325853248436052</c:v>
                </c:pt>
                <c:pt idx="18">
                  <c:v>0.0308238819755374</c:v>
                </c:pt>
              </c:numCache>
            </c:numRef>
          </c:val>
          <c:smooth val="0"/>
        </c:ser>
        <c:ser>
          <c:idx val="0"/>
          <c:order val="1"/>
          <c:tx>
            <c:strRef>
              <c:f>totaux!$AK$4</c:f>
              <c:strCache>
                <c:ptCount val="1"/>
                <c:pt idx="0">
                  <c:v>vx</c:v>
                </c:pt>
              </c:strCache>
            </c:strRef>
          </c:tx>
          <c:spPr>
            <a:ln w="19050">
              <a:noFill/>
            </a:ln>
          </c:spPr>
          <c:marker>
            <c:symbol val="star"/>
            <c:size val="9"/>
            <c:spPr>
              <a:solidFill>
                <a:schemeClr val="bg1"/>
              </a:solidFill>
              <a:ln>
                <a:solidFill>
                  <a:srgbClr val="3366FF"/>
                </a:solidFill>
              </a:ln>
            </c:spPr>
          </c:marker>
          <c:cat>
            <c:numRef>
              <c:f>totaux!$A$5:$A$23</c:f>
              <c:numCache>
                <c:formatCode>General</c:formatCode>
                <c:ptCount val="19"/>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numCache>
            </c:numRef>
          </c:cat>
          <c:val>
            <c:numRef>
              <c:f>totaux!$AK$5:$AK$23</c:f>
              <c:numCache>
                <c:formatCode>0.0%</c:formatCode>
                <c:ptCount val="19"/>
                <c:pt idx="0">
                  <c:v>0.0499962313915114</c:v>
                </c:pt>
                <c:pt idx="1">
                  <c:v>0.0552653898500369</c:v>
                </c:pt>
                <c:pt idx="2">
                  <c:v>0.0872468440003149</c:v>
                </c:pt>
                <c:pt idx="3">
                  <c:v>0.0766476803829823</c:v>
                </c:pt>
                <c:pt idx="4">
                  <c:v>0.0640109875511439</c:v>
                </c:pt>
                <c:pt idx="5">
                  <c:v>0.092290928169945</c:v>
                </c:pt>
                <c:pt idx="6">
                  <c:v>0.0819141103541738</c:v>
                </c:pt>
                <c:pt idx="7">
                  <c:v>0.144594551541038</c:v>
                </c:pt>
                <c:pt idx="8">
                  <c:v>#N/A</c:v>
                </c:pt>
                <c:pt idx="9">
                  <c:v>#N/A</c:v>
                </c:pt>
                <c:pt idx="10">
                  <c:v>#N/A</c:v>
                </c:pt>
                <c:pt idx="11">
                  <c:v>#N/A</c:v>
                </c:pt>
                <c:pt idx="12">
                  <c:v>#N/A</c:v>
                </c:pt>
                <c:pt idx="13">
                  <c:v>#N/A</c:v>
                </c:pt>
                <c:pt idx="14">
                  <c:v>#N/A</c:v>
                </c:pt>
                <c:pt idx="15">
                  <c:v>#N/A</c:v>
                </c:pt>
                <c:pt idx="16">
                  <c:v>#N/A</c:v>
                </c:pt>
                <c:pt idx="17">
                  <c:v>#N/A</c:v>
                </c:pt>
                <c:pt idx="18">
                  <c:v>#N/A</c:v>
                </c:pt>
              </c:numCache>
            </c:numRef>
          </c:val>
          <c:smooth val="0"/>
        </c:ser>
        <c:ser>
          <c:idx val="8"/>
          <c:order val="2"/>
          <c:tx>
            <c:strRef>
              <c:f>totaux!$AN$4</c:f>
              <c:strCache>
                <c:ptCount val="1"/>
                <c:pt idx="0">
                  <c:v>Non_st + vx</c:v>
                </c:pt>
              </c:strCache>
            </c:strRef>
          </c:tx>
          <c:spPr>
            <a:ln w="25400">
              <a:solidFill>
                <a:srgbClr val="008000"/>
              </a:solidFill>
            </a:ln>
          </c:spPr>
          <c:marker>
            <c:symbol val="none"/>
          </c:marker>
          <c:cat>
            <c:numRef>
              <c:f>totaux!$A$5:$A$23</c:f>
              <c:numCache>
                <c:formatCode>General</c:formatCode>
                <c:ptCount val="19"/>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numCache>
            </c:numRef>
          </c:cat>
          <c:val>
            <c:numRef>
              <c:f>totaux!$AN$5:$AN$23</c:f>
              <c:numCache>
                <c:formatCode>0.0%</c:formatCode>
                <c:ptCount val="19"/>
                <c:pt idx="0">
                  <c:v>0.0499962313915114</c:v>
                </c:pt>
                <c:pt idx="1">
                  <c:v>0.0551248461920951</c:v>
                </c:pt>
                <c:pt idx="2">
                  <c:v>0.0833624917548598</c:v>
                </c:pt>
                <c:pt idx="3">
                  <c:v>0.0735118684025777</c:v>
                </c:pt>
                <c:pt idx="4">
                  <c:v>0.0595759384864871</c:v>
                </c:pt>
                <c:pt idx="5">
                  <c:v>0.0684094564003182</c:v>
                </c:pt>
                <c:pt idx="6">
                  <c:v>0.0384074460117858</c:v>
                </c:pt>
                <c:pt idx="7">
                  <c:v>0.0400999216503105</c:v>
                </c:pt>
                <c:pt idx="8">
                  <c:v>0.0428576470612271</c:v>
                </c:pt>
                <c:pt idx="9">
                  <c:v>0.0385491831234171</c:v>
                </c:pt>
                <c:pt idx="10">
                  <c:v>0.0187078939537781</c:v>
                </c:pt>
                <c:pt idx="11">
                  <c:v>0.0224221558572322</c:v>
                </c:pt>
                <c:pt idx="12">
                  <c:v>0.0202289715385488</c:v>
                </c:pt>
                <c:pt idx="13">
                  <c:v>0.0207060266192592</c:v>
                </c:pt>
                <c:pt idx="14">
                  <c:v>0.0300841104252608</c:v>
                </c:pt>
                <c:pt idx="15">
                  <c:v>0.0307287570178055</c:v>
                </c:pt>
                <c:pt idx="16">
                  <c:v>0.0302793315464686</c:v>
                </c:pt>
                <c:pt idx="17">
                  <c:v>0.0325853248436052</c:v>
                </c:pt>
                <c:pt idx="18">
                  <c:v>0.0308238819755374</c:v>
                </c:pt>
              </c:numCache>
            </c:numRef>
          </c:val>
          <c:smooth val="0"/>
        </c:ser>
        <c:ser>
          <c:idx val="5"/>
          <c:order val="3"/>
          <c:tx>
            <c:strRef>
              <c:f>totaux!$AJ$4</c:f>
              <c:strCache>
                <c:ptCount val="1"/>
                <c:pt idx="0">
                  <c:v>Struct</c:v>
                </c:pt>
              </c:strCache>
            </c:strRef>
          </c:tx>
          <c:spPr>
            <a:ln w="12700">
              <a:solidFill>
                <a:srgbClr val="660066"/>
              </a:solidFill>
              <a:prstDash val="sysDash"/>
            </a:ln>
          </c:spPr>
          <c:marker>
            <c:symbol val="plus"/>
            <c:size val="10"/>
            <c:spPr>
              <a:solidFill>
                <a:srgbClr val="660066">
                  <a:alpha val="70000"/>
                </a:srgbClr>
              </a:solidFill>
              <a:ln>
                <a:solidFill>
                  <a:schemeClr val="bg1"/>
                </a:solidFill>
              </a:ln>
            </c:spPr>
          </c:marker>
          <c:cat>
            <c:numRef>
              <c:f>totaux!$A$5:$A$23</c:f>
              <c:numCache>
                <c:formatCode>General</c:formatCode>
                <c:ptCount val="19"/>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numCache>
            </c:numRef>
          </c:cat>
          <c:val>
            <c:numRef>
              <c:f>totaux!$AJ$5:$AJ$23</c:f>
              <c:numCache>
                <c:formatCode>0.0%</c:formatCode>
                <c:ptCount val="19"/>
                <c:pt idx="0">
                  <c:v>#N/A</c:v>
                </c:pt>
                <c:pt idx="1">
                  <c:v>#N/A</c:v>
                </c:pt>
                <c:pt idx="2">
                  <c:v>0.0191906369089667</c:v>
                </c:pt>
                <c:pt idx="3">
                  <c:v>0.0336057542869121</c:v>
                </c:pt>
                <c:pt idx="4">
                  <c:v>0.0326483301582833</c:v>
                </c:pt>
                <c:pt idx="5">
                  <c:v>0.0335980368704442</c:v>
                </c:pt>
                <c:pt idx="6">
                  <c:v>0.0310465855631591</c:v>
                </c:pt>
                <c:pt idx="7">
                  <c:v>0.0330975904585511</c:v>
                </c:pt>
                <c:pt idx="8">
                  <c:v>0.0280062146384723</c:v>
                </c:pt>
                <c:pt idx="9">
                  <c:v>0.0286858762124874</c:v>
                </c:pt>
                <c:pt idx="10">
                  <c:v>0.0297937044310583</c:v>
                </c:pt>
                <c:pt idx="11">
                  <c:v>0.035496282743151</c:v>
                </c:pt>
                <c:pt idx="12">
                  <c:v>0.0627366765206998</c:v>
                </c:pt>
                <c:pt idx="13">
                  <c:v>0.0390334240854969</c:v>
                </c:pt>
                <c:pt idx="14">
                  <c:v>0.0544726744746862</c:v>
                </c:pt>
                <c:pt idx="15">
                  <c:v>0.0381188809467633</c:v>
                </c:pt>
                <c:pt idx="16">
                  <c:v>0.0383480010735851</c:v>
                </c:pt>
                <c:pt idx="17">
                  <c:v>0.037406674933686</c:v>
                </c:pt>
                <c:pt idx="18">
                  <c:v>0.0553792123755488</c:v>
                </c:pt>
              </c:numCache>
            </c:numRef>
          </c:val>
          <c:smooth val="0"/>
        </c:ser>
        <c:ser>
          <c:idx val="4"/>
          <c:order val="4"/>
          <c:tx>
            <c:strRef>
              <c:f>totaux!$AI$4</c:f>
              <c:strCache>
                <c:ptCount val="1"/>
                <c:pt idx="0">
                  <c:v>Restr_sec</c:v>
                </c:pt>
              </c:strCache>
            </c:strRef>
          </c:tx>
          <c:spPr>
            <a:ln w="15875">
              <a:noFill/>
              <a:prstDash val="sysDot"/>
            </a:ln>
          </c:spPr>
          <c:marker>
            <c:symbol val="diamond"/>
            <c:size val="11"/>
            <c:spPr>
              <a:solidFill>
                <a:srgbClr val="FF6600">
                  <a:alpha val="80000"/>
                </a:srgbClr>
              </a:solidFill>
              <a:ln>
                <a:solidFill>
                  <a:srgbClr val="FF6600"/>
                </a:solidFill>
              </a:ln>
            </c:spPr>
          </c:marker>
          <c:cat>
            <c:numRef>
              <c:f>totaux!$A$5:$A$23</c:f>
              <c:numCache>
                <c:formatCode>General</c:formatCode>
                <c:ptCount val="19"/>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numCache>
            </c:numRef>
          </c:cat>
          <c:val>
            <c:numRef>
              <c:f>totaux!$AI$5:$AI$23</c:f>
              <c:numCache>
                <c:formatCode>0.0%</c:formatCode>
                <c:ptCount val="19"/>
                <c:pt idx="0">
                  <c:v>#N/A</c:v>
                </c:pt>
                <c:pt idx="1">
                  <c:v>#N/A</c:v>
                </c:pt>
                <c:pt idx="2">
                  <c:v>#N/A</c:v>
                </c:pt>
                <c:pt idx="3">
                  <c:v>#N/A</c:v>
                </c:pt>
                <c:pt idx="4">
                  <c:v>#N/A</c:v>
                </c:pt>
                <c:pt idx="5">
                  <c:v>#N/A</c:v>
                </c:pt>
                <c:pt idx="6">
                  <c:v>#N/A</c:v>
                </c:pt>
                <c:pt idx="7">
                  <c:v>#N/A</c:v>
                </c:pt>
                <c:pt idx="8">
                  <c:v>#N/A</c:v>
                </c:pt>
                <c:pt idx="9">
                  <c:v>#N/A</c:v>
                </c:pt>
                <c:pt idx="10">
                  <c:v>0.0449935389815869</c:v>
                </c:pt>
                <c:pt idx="11">
                  <c:v>0.0464800614318996</c:v>
                </c:pt>
                <c:pt idx="12">
                  <c:v>0.0901004564137062</c:v>
                </c:pt>
                <c:pt idx="13">
                  <c:v>0.0322865473876511</c:v>
                </c:pt>
                <c:pt idx="14">
                  <c:v>0.0401880518553708</c:v>
                </c:pt>
                <c:pt idx="15">
                  <c:v>0.0533518775897954</c:v>
                </c:pt>
                <c:pt idx="16">
                  <c:v>0.0475477743521148</c:v>
                </c:pt>
                <c:pt idx="17">
                  <c:v>0.0475786955063656</c:v>
                </c:pt>
                <c:pt idx="18">
                  <c:v>0.0445311342509499</c:v>
                </c:pt>
              </c:numCache>
            </c:numRef>
          </c:val>
          <c:smooth val="0"/>
        </c:ser>
        <c:ser>
          <c:idx val="7"/>
          <c:order val="5"/>
          <c:tx>
            <c:strRef>
              <c:f>totaux!$AM$4</c:f>
              <c:strCache>
                <c:ptCount val="1"/>
                <c:pt idx="0">
                  <c:v>Struct + Restr_sec</c:v>
                </c:pt>
              </c:strCache>
            </c:strRef>
          </c:tx>
          <c:spPr>
            <a:ln w="25400">
              <a:solidFill>
                <a:srgbClr val="FF0000"/>
              </a:solidFill>
            </a:ln>
          </c:spPr>
          <c:marker>
            <c:symbol val="none"/>
          </c:marker>
          <c:cat>
            <c:numRef>
              <c:f>totaux!$A$5:$A$23</c:f>
              <c:numCache>
                <c:formatCode>General</c:formatCode>
                <c:ptCount val="19"/>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numCache>
            </c:numRef>
          </c:cat>
          <c:val>
            <c:numRef>
              <c:f>totaux!$AM$5:$AM$23</c:f>
              <c:numCache>
                <c:formatCode>0.0%</c:formatCode>
                <c:ptCount val="19"/>
                <c:pt idx="0">
                  <c:v>#N/A</c:v>
                </c:pt>
                <c:pt idx="1">
                  <c:v>#N/A</c:v>
                </c:pt>
                <c:pt idx="2">
                  <c:v>0.0191906369089667</c:v>
                </c:pt>
                <c:pt idx="3">
                  <c:v>0.0336057542869121</c:v>
                </c:pt>
                <c:pt idx="4">
                  <c:v>0.0326483301582833</c:v>
                </c:pt>
                <c:pt idx="5">
                  <c:v>0.0335980368704442</c:v>
                </c:pt>
                <c:pt idx="6">
                  <c:v>0.0310465855631591</c:v>
                </c:pt>
                <c:pt idx="7">
                  <c:v>0.0330975904585511</c:v>
                </c:pt>
                <c:pt idx="8">
                  <c:v>0.0280062146384723</c:v>
                </c:pt>
                <c:pt idx="9">
                  <c:v>0.0286209121615695</c:v>
                </c:pt>
                <c:pt idx="10">
                  <c:v>0.0302171106768407</c:v>
                </c:pt>
                <c:pt idx="11">
                  <c:v>0.0360219554254861</c:v>
                </c:pt>
                <c:pt idx="12">
                  <c:v>0.0640643298449129</c:v>
                </c:pt>
                <c:pt idx="13">
                  <c:v>0.0379511937649184</c:v>
                </c:pt>
                <c:pt idx="14">
                  <c:v>0.0490480247827803</c:v>
                </c:pt>
                <c:pt idx="15">
                  <c:v>0.0444436710262798</c:v>
                </c:pt>
                <c:pt idx="16">
                  <c:v>0.0426412933240992</c:v>
                </c:pt>
                <c:pt idx="17">
                  <c:v>0.042733342988253</c:v>
                </c:pt>
                <c:pt idx="18">
                  <c:v>0.0480996414872394</c:v>
                </c:pt>
              </c:numCache>
            </c:numRef>
          </c:val>
          <c:smooth val="0"/>
        </c:ser>
        <c:ser>
          <c:idx val="3"/>
          <c:order val="6"/>
          <c:tx>
            <c:strRef>
              <c:f>totaux!$AH$4</c:f>
              <c:strCache>
                <c:ptCount val="1"/>
                <c:pt idx="0">
                  <c:v>Restr_aidé</c:v>
                </c:pt>
              </c:strCache>
            </c:strRef>
          </c:tx>
          <c:spPr>
            <a:ln w="19050">
              <a:solidFill>
                <a:srgbClr val="800000"/>
              </a:solidFill>
              <a:prstDash val="sysDash"/>
            </a:ln>
          </c:spPr>
          <c:marker>
            <c:symbol val="square"/>
            <c:size val="9"/>
            <c:spPr>
              <a:solidFill>
                <a:srgbClr val="800000">
                  <a:alpha val="80000"/>
                </a:srgbClr>
              </a:solidFill>
              <a:ln>
                <a:solidFill>
                  <a:srgbClr val="800000"/>
                </a:solidFill>
              </a:ln>
            </c:spPr>
          </c:marker>
          <c:cat>
            <c:numRef>
              <c:f>totaux!$A$5:$A$23</c:f>
              <c:numCache>
                <c:formatCode>General</c:formatCode>
                <c:ptCount val="19"/>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numCache>
            </c:numRef>
          </c:cat>
          <c:val>
            <c:numRef>
              <c:f>totaux!$AH$5:$AH$23</c:f>
              <c:numCache>
                <c:formatCode>0.0%</c:formatCod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0.0365028094847167</c:v>
                </c:pt>
                <c:pt idx="16">
                  <c:v>0.0414433151139197</c:v>
                </c:pt>
                <c:pt idx="17">
                  <c:v>0.0388689643277725</c:v>
                </c:pt>
                <c:pt idx="18">
                  <c:v>0.0382405217181137</c:v>
                </c:pt>
              </c:numCache>
            </c:numRef>
          </c:val>
          <c:smooth val="0"/>
        </c:ser>
        <c:ser>
          <c:idx val="1"/>
          <c:order val="7"/>
          <c:tx>
            <c:strRef>
              <c:f>totaux!$AF$4</c:f>
              <c:strCache>
                <c:ptCount val="1"/>
                <c:pt idx="0">
                  <c:v>Livr_A</c:v>
                </c:pt>
              </c:strCache>
            </c:strRef>
          </c:tx>
          <c:spPr>
            <a:ln w="12700">
              <a:solidFill>
                <a:srgbClr val="FF0000"/>
              </a:solidFill>
              <a:prstDash val="sysDot"/>
            </a:ln>
          </c:spPr>
          <c:marker>
            <c:symbol val="triangle"/>
            <c:size val="9"/>
            <c:spPr>
              <a:noFill/>
              <a:ln>
                <a:solidFill>
                  <a:srgbClr val="FF0000"/>
                </a:solidFill>
              </a:ln>
            </c:spPr>
          </c:marker>
          <c:cat>
            <c:numRef>
              <c:f>totaux!$A$5:$A$23</c:f>
              <c:numCache>
                <c:formatCode>General</c:formatCode>
                <c:ptCount val="19"/>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numCache>
            </c:numRef>
          </c:cat>
          <c:val>
            <c:numRef>
              <c:f>totaux!$AF$5:$AF$23</c:f>
              <c:numCache>
                <c:formatCode>0.0%</c:formatCode>
                <c:ptCount val="19"/>
                <c:pt idx="0">
                  <c:v>#N/A</c:v>
                </c:pt>
                <c:pt idx="1">
                  <c:v>#N/A</c:v>
                </c:pt>
                <c:pt idx="2">
                  <c:v>#N/A</c:v>
                </c:pt>
                <c:pt idx="3">
                  <c:v>0.029601016733002</c:v>
                </c:pt>
                <c:pt idx="4">
                  <c:v>0.0429780118862812</c:v>
                </c:pt>
                <c:pt idx="5">
                  <c:v>0.0461784603599433</c:v>
                </c:pt>
                <c:pt idx="6">
                  <c:v>0.0313878189847237</c:v>
                </c:pt>
                <c:pt idx="7">
                  <c:v>0.0446467428260177</c:v>
                </c:pt>
                <c:pt idx="8">
                  <c:v>0.0282741246977103</c:v>
                </c:pt>
                <c:pt idx="9">
                  <c:v>0.03606922779432</c:v>
                </c:pt>
                <c:pt idx="10">
                  <c:v>0.0259248285243397</c:v>
                </c:pt>
                <c:pt idx="11">
                  <c:v>0.0130413731776815</c:v>
                </c:pt>
                <c:pt idx="12">
                  <c:v>0.0215333367222847</c:v>
                </c:pt>
                <c:pt idx="13">
                  <c:v>0.0236284996758418</c:v>
                </c:pt>
                <c:pt idx="14">
                  <c:v>0.0185063074959108</c:v>
                </c:pt>
                <c:pt idx="15">
                  <c:v>0.013331795231713</c:v>
                </c:pt>
                <c:pt idx="16">
                  <c:v>0.0111950259409771</c:v>
                </c:pt>
                <c:pt idx="17">
                  <c:v>0.0141653717073668</c:v>
                </c:pt>
                <c:pt idx="18">
                  <c:v>0.0142864417894047</c:v>
                </c:pt>
              </c:numCache>
            </c:numRef>
          </c:val>
          <c:smooth val="0"/>
        </c:ser>
        <c:ser>
          <c:idx val="6"/>
          <c:order val="8"/>
          <c:tx>
            <c:strRef>
              <c:f>totaux!$AL$4</c:f>
              <c:strCache>
                <c:ptCount val="1"/>
                <c:pt idx="0">
                  <c:v>Total</c:v>
                </c:pt>
              </c:strCache>
            </c:strRef>
          </c:tx>
          <c:spPr>
            <a:ln w="15875">
              <a:solidFill>
                <a:schemeClr val="tx1">
                  <a:lumMod val="50000"/>
                  <a:lumOff val="50000"/>
                </a:schemeClr>
              </a:solidFill>
            </a:ln>
          </c:spPr>
          <c:marker>
            <c:symbol val="none"/>
          </c:marker>
          <c:cat>
            <c:numRef>
              <c:f>totaux!$A$5:$A$23</c:f>
              <c:numCache>
                <c:formatCode>General</c:formatCode>
                <c:ptCount val="19"/>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numCache>
            </c:numRef>
          </c:cat>
          <c:val>
            <c:numRef>
              <c:f>totaux!$AL$5:$AL$23</c:f>
              <c:numCache>
                <c:formatCode>0.0%</c:formatCode>
                <c:ptCount val="19"/>
                <c:pt idx="0">
                  <c:v>0.0499962313915114</c:v>
                </c:pt>
                <c:pt idx="1">
                  <c:v>0.055037441021177</c:v>
                </c:pt>
                <c:pt idx="2">
                  <c:v>0.0593472542633474</c:v>
                </c:pt>
                <c:pt idx="3">
                  <c:v>0.0487754340730862</c:v>
                </c:pt>
                <c:pt idx="4">
                  <c:v>0.0409291042928811</c:v>
                </c:pt>
                <c:pt idx="5">
                  <c:v>0.0404231756937226</c:v>
                </c:pt>
                <c:pt idx="6">
                  <c:v>0.0322597742202009</c:v>
                </c:pt>
                <c:pt idx="7">
                  <c:v>0.0342822205160486</c:v>
                </c:pt>
                <c:pt idx="8">
                  <c:v>0.0289084098677931</c:v>
                </c:pt>
                <c:pt idx="9">
                  <c:v>0.0293572101274606</c:v>
                </c:pt>
                <c:pt idx="10">
                  <c:v>0.0286571357634124</c:v>
                </c:pt>
                <c:pt idx="11">
                  <c:v>0.0335310802303588</c:v>
                </c:pt>
                <c:pt idx="12">
                  <c:v>0.0535940849958144</c:v>
                </c:pt>
                <c:pt idx="13">
                  <c:v>0.0332298546271913</c:v>
                </c:pt>
                <c:pt idx="14">
                  <c:v>0.0392429312021007</c:v>
                </c:pt>
                <c:pt idx="15">
                  <c:v>0.038615044234246</c:v>
                </c:pt>
                <c:pt idx="16">
                  <c:v>0.0378637133244691</c:v>
                </c:pt>
                <c:pt idx="17">
                  <c:v>0.0378258529994266</c:v>
                </c:pt>
                <c:pt idx="18">
                  <c:v>0.0380922969935409</c:v>
                </c:pt>
              </c:numCache>
            </c:numRef>
          </c:val>
          <c:smooth val="0"/>
        </c:ser>
        <c:dLbls>
          <c:showLegendKey val="0"/>
          <c:showVal val="0"/>
          <c:showCatName val="0"/>
          <c:showSerName val="0"/>
          <c:showPercent val="0"/>
          <c:showBubbleSize val="0"/>
        </c:dLbls>
        <c:marker val="1"/>
        <c:smooth val="0"/>
        <c:axId val="1583747432"/>
        <c:axId val="1590564504"/>
      </c:lineChart>
      <c:catAx>
        <c:axId val="1583747432"/>
        <c:scaling>
          <c:orientation val="minMax"/>
        </c:scaling>
        <c:delete val="0"/>
        <c:axPos val="b"/>
        <c:numFmt formatCode="General" sourceLinked="1"/>
        <c:majorTickMark val="none"/>
        <c:minorTickMark val="none"/>
        <c:tickLblPos val="nextTo"/>
        <c:crossAx val="1590564504"/>
        <c:crosses val="autoZero"/>
        <c:auto val="1"/>
        <c:lblAlgn val="ctr"/>
        <c:lblOffset val="100"/>
        <c:noMultiLvlLbl val="0"/>
      </c:catAx>
      <c:valAx>
        <c:axId val="1590564504"/>
        <c:scaling>
          <c:orientation val="minMax"/>
          <c:max val="0.107"/>
          <c:min val="0.0"/>
        </c:scaling>
        <c:delete val="0"/>
        <c:axPos val="l"/>
        <c:majorGridlines>
          <c:spPr>
            <a:ln>
              <a:solidFill>
                <a:schemeClr val="tx1">
                  <a:lumMod val="50000"/>
                  <a:lumOff val="50000"/>
                </a:schemeClr>
              </a:solidFill>
              <a:prstDash val="sysDot"/>
            </a:ln>
          </c:spPr>
        </c:majorGridlines>
        <c:numFmt formatCode="0%" sourceLinked="0"/>
        <c:majorTickMark val="none"/>
        <c:minorTickMark val="none"/>
        <c:tickLblPos val="nextTo"/>
        <c:txPr>
          <a:bodyPr/>
          <a:lstStyle/>
          <a:p>
            <a:pPr>
              <a:defRPr sz="1200"/>
            </a:pPr>
            <a:endParaRPr lang="fr-FR"/>
          </a:p>
        </c:txPr>
        <c:crossAx val="1583747432"/>
        <c:crosses val="autoZero"/>
        <c:crossBetween val="between"/>
        <c:majorUnit val="0.01"/>
      </c:valAx>
      <c:spPr>
        <a:ln>
          <a:solidFill>
            <a:schemeClr val="tx1">
              <a:lumMod val="50000"/>
              <a:lumOff val="50000"/>
            </a:schemeClr>
          </a:solidFill>
        </a:ln>
      </c:spPr>
    </c:plotArea>
    <c:legend>
      <c:legendPos val="r"/>
      <c:layout>
        <c:manualLayout>
          <c:xMode val="edge"/>
          <c:yMode val="edge"/>
          <c:x val="0.0789794175544233"/>
          <c:y val="0.0447494481599842"/>
          <c:w val="0.896980083371931"/>
          <c:h val="0.0987854028706662"/>
        </c:manualLayout>
      </c:layout>
      <c:overlay val="0"/>
      <c:spPr>
        <a:solidFill>
          <a:schemeClr val="bg1"/>
        </a:solidFill>
      </c:spPr>
      <c:txPr>
        <a:bodyPr/>
        <a:lstStyle/>
        <a:p>
          <a:pPr>
            <a:defRPr b="1"/>
          </a:pPr>
          <a:endParaRPr lang="fr-FR"/>
        </a:p>
      </c:txPr>
    </c:legend>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3"/>
          <c:order val="0"/>
          <c:tx>
            <c:strRef>
              <c:f>Estimations!$I$2:$I$3</c:f>
              <c:strCache>
                <c:ptCount val="1"/>
                <c:pt idx="0">
                  <c:v>Restr Fixe</c:v>
                </c:pt>
              </c:strCache>
            </c:strRef>
          </c:tx>
          <c:cat>
            <c:numRef>
              <c:f>Estimations!$A$4:$A$21</c:f>
              <c:numCache>
                <c:formatCode>General</c:formatCode>
                <c:ptCount val="18"/>
                <c:pt idx="0">
                  <c:v>2001.0</c:v>
                </c:pt>
                <c:pt idx="1">
                  <c:v>2002.0</c:v>
                </c:pt>
                <c:pt idx="2">
                  <c:v>2003.0</c:v>
                </c:pt>
                <c:pt idx="3">
                  <c:v>2004.0</c:v>
                </c:pt>
                <c:pt idx="4">
                  <c:v>2005.0</c:v>
                </c:pt>
                <c:pt idx="5">
                  <c:v>2006.0</c:v>
                </c:pt>
                <c:pt idx="6">
                  <c:v>2007.0</c:v>
                </c:pt>
                <c:pt idx="7">
                  <c:v>2008.0</c:v>
                </c:pt>
                <c:pt idx="8">
                  <c:v>2009.0</c:v>
                </c:pt>
                <c:pt idx="9">
                  <c:v>2010.0</c:v>
                </c:pt>
                <c:pt idx="10">
                  <c:v>2011.0</c:v>
                </c:pt>
                <c:pt idx="11">
                  <c:v>2012.0</c:v>
                </c:pt>
                <c:pt idx="12">
                  <c:v>2013.0</c:v>
                </c:pt>
                <c:pt idx="13">
                  <c:v>2014.0</c:v>
                </c:pt>
                <c:pt idx="14">
                  <c:v>2015.0</c:v>
                </c:pt>
                <c:pt idx="15">
                  <c:v>2016.0</c:v>
                </c:pt>
                <c:pt idx="16">
                  <c:v>2017.0</c:v>
                </c:pt>
                <c:pt idx="17">
                  <c:v>2018.0</c:v>
                </c:pt>
              </c:numCache>
            </c:numRef>
          </c:cat>
          <c:val>
            <c:numRef>
              <c:f>Estimations!$I$4:$I$21</c:f>
              <c:numCache>
                <c:formatCode>0.00%</c:formatCode>
                <c:ptCount val="1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numCache>
            </c:numRef>
          </c:val>
          <c:smooth val="0"/>
        </c:ser>
        <c:ser>
          <c:idx val="1"/>
          <c:order val="1"/>
          <c:tx>
            <c:strRef>
              <c:f>Estimations!$G$2:$G$3</c:f>
              <c:strCache>
                <c:ptCount val="1"/>
                <c:pt idx="0">
                  <c:v>Non_st Fixe</c:v>
                </c:pt>
              </c:strCache>
            </c:strRef>
          </c:tx>
          <c:cat>
            <c:numRef>
              <c:f>Estimations!$A$4:$A$21</c:f>
              <c:numCache>
                <c:formatCode>General</c:formatCode>
                <c:ptCount val="18"/>
                <c:pt idx="0">
                  <c:v>2001.0</c:v>
                </c:pt>
                <c:pt idx="1">
                  <c:v>2002.0</c:v>
                </c:pt>
                <c:pt idx="2">
                  <c:v>2003.0</c:v>
                </c:pt>
                <c:pt idx="3">
                  <c:v>2004.0</c:v>
                </c:pt>
                <c:pt idx="4">
                  <c:v>2005.0</c:v>
                </c:pt>
                <c:pt idx="5">
                  <c:v>2006.0</c:v>
                </c:pt>
                <c:pt idx="6">
                  <c:v>2007.0</c:v>
                </c:pt>
                <c:pt idx="7">
                  <c:v>2008.0</c:v>
                </c:pt>
                <c:pt idx="8">
                  <c:v>2009.0</c:v>
                </c:pt>
                <c:pt idx="9">
                  <c:v>2010.0</c:v>
                </c:pt>
                <c:pt idx="10">
                  <c:v>2011.0</c:v>
                </c:pt>
                <c:pt idx="11">
                  <c:v>2012.0</c:v>
                </c:pt>
                <c:pt idx="12">
                  <c:v>2013.0</c:v>
                </c:pt>
                <c:pt idx="13">
                  <c:v>2014.0</c:v>
                </c:pt>
                <c:pt idx="14">
                  <c:v>2015.0</c:v>
                </c:pt>
                <c:pt idx="15">
                  <c:v>2016.0</c:v>
                </c:pt>
                <c:pt idx="16">
                  <c:v>2017.0</c:v>
                </c:pt>
                <c:pt idx="17">
                  <c:v>2018.0</c:v>
                </c:pt>
              </c:numCache>
            </c:numRef>
          </c:cat>
          <c:val>
            <c:numRef>
              <c:f>Estimations!$G$4:$G$21</c:f>
              <c:numCache>
                <c:formatCode>0.00%</c:formatCode>
                <c:ptCount val="18"/>
                <c:pt idx="0">
                  <c:v>0.0484461538453387</c:v>
                </c:pt>
                <c:pt idx="1">
                  <c:v>0.0490729529435187</c:v>
                </c:pt>
                <c:pt idx="2">
                  <c:v>0.0288994169536998</c:v>
                </c:pt>
                <c:pt idx="3">
                  <c:v>0.0375653362740625</c:v>
                </c:pt>
                <c:pt idx="4">
                  <c:v>0.0297</c:v>
                </c:pt>
                <c:pt idx="5">
                  <c:v>0.04004</c:v>
                </c:pt>
                <c:pt idx="6">
                  <c:v>#N/A</c:v>
                </c:pt>
                <c:pt idx="7">
                  <c:v>#N/A</c:v>
                </c:pt>
                <c:pt idx="8">
                  <c:v>0.0448</c:v>
                </c:pt>
                <c:pt idx="9">
                  <c:v>0.0214</c:v>
                </c:pt>
                <c:pt idx="10">
                  <c:v>#N/A</c:v>
                </c:pt>
                <c:pt idx="11">
                  <c:v>0.0452</c:v>
                </c:pt>
                <c:pt idx="12">
                  <c:v>0.0426</c:v>
                </c:pt>
                <c:pt idx="13">
                  <c:v>0.0402666666666667</c:v>
                </c:pt>
                <c:pt idx="14">
                  <c:v>0.0238</c:v>
                </c:pt>
                <c:pt idx="15">
                  <c:v>0.0274651162790698</c:v>
                </c:pt>
                <c:pt idx="16">
                  <c:v>#N/A</c:v>
                </c:pt>
                <c:pt idx="17">
                  <c:v>#N/A</c:v>
                </c:pt>
              </c:numCache>
            </c:numRef>
          </c:val>
          <c:smooth val="0"/>
        </c:ser>
        <c:ser>
          <c:idx val="2"/>
          <c:order val="2"/>
          <c:tx>
            <c:strRef>
              <c:f>Estimations!$D$2:$D$3</c:f>
              <c:strCache>
                <c:ptCount val="1"/>
                <c:pt idx="0">
                  <c:v>Taux moyens nouveaux emprunts locaux</c:v>
                </c:pt>
              </c:strCache>
            </c:strRef>
          </c:tx>
          <c:cat>
            <c:numRef>
              <c:f>Estimations!$A$4:$A$21</c:f>
              <c:numCache>
                <c:formatCode>General</c:formatCode>
                <c:ptCount val="18"/>
                <c:pt idx="0">
                  <c:v>2001.0</c:v>
                </c:pt>
                <c:pt idx="1">
                  <c:v>2002.0</c:v>
                </c:pt>
                <c:pt idx="2">
                  <c:v>2003.0</c:v>
                </c:pt>
                <c:pt idx="3">
                  <c:v>2004.0</c:v>
                </c:pt>
                <c:pt idx="4">
                  <c:v>2005.0</c:v>
                </c:pt>
                <c:pt idx="5">
                  <c:v>2006.0</c:v>
                </c:pt>
                <c:pt idx="6">
                  <c:v>2007.0</c:v>
                </c:pt>
                <c:pt idx="7">
                  <c:v>2008.0</c:v>
                </c:pt>
                <c:pt idx="8">
                  <c:v>2009.0</c:v>
                </c:pt>
                <c:pt idx="9">
                  <c:v>2010.0</c:v>
                </c:pt>
                <c:pt idx="10">
                  <c:v>2011.0</c:v>
                </c:pt>
                <c:pt idx="11">
                  <c:v>2012.0</c:v>
                </c:pt>
                <c:pt idx="12">
                  <c:v>2013.0</c:v>
                </c:pt>
                <c:pt idx="13">
                  <c:v>2014.0</c:v>
                </c:pt>
                <c:pt idx="14">
                  <c:v>2015.0</c:v>
                </c:pt>
                <c:pt idx="15">
                  <c:v>2016.0</c:v>
                </c:pt>
                <c:pt idx="16">
                  <c:v>2017.0</c:v>
                </c:pt>
                <c:pt idx="17">
                  <c:v>2018.0</c:v>
                </c:pt>
              </c:numCache>
            </c:numRef>
          </c:cat>
          <c:val>
            <c:numRef>
              <c:f>Estimations!$D$4:$D$21</c:f>
              <c:numCache>
                <c:formatCode>0.00%</c:formatCode>
                <c:ptCount val="18"/>
                <c:pt idx="0">
                  <c:v>0.0493773437500001</c:v>
                </c:pt>
                <c:pt idx="1">
                  <c:v>0.0485732283464567</c:v>
                </c:pt>
                <c:pt idx="2">
                  <c:v>0.0413125</c:v>
                </c:pt>
                <c:pt idx="3">
                  <c:v>0.038</c:v>
                </c:pt>
                <c:pt idx="4">
                  <c:v>0.0355</c:v>
                </c:pt>
                <c:pt idx="5">
                  <c:v>0.0332</c:v>
                </c:pt>
                <c:pt idx="6">
                  <c:v>0.0417</c:v>
                </c:pt>
                <c:pt idx="7">
                  <c:v>0.0504556453269066</c:v>
                </c:pt>
                <c:pt idx="8">
                  <c:v>0.0445710847370656</c:v>
                </c:pt>
                <c:pt idx="9">
                  <c:v>0.0392235558349728</c:v>
                </c:pt>
                <c:pt idx="10">
                  <c:v>0.0412561732726431</c:v>
                </c:pt>
                <c:pt idx="11">
                  <c:v>0.0334458079277271</c:v>
                </c:pt>
                <c:pt idx="12">
                  <c:v>0.0308</c:v>
                </c:pt>
                <c:pt idx="13">
                  <c:v>0.024</c:v>
                </c:pt>
                <c:pt idx="14">
                  <c:v>0.0175</c:v>
                </c:pt>
                <c:pt idx="15">
                  <c:v>0.0118</c:v>
                </c:pt>
                <c:pt idx="16">
                  <c:v>0.0161796948045001</c:v>
                </c:pt>
                <c:pt idx="17">
                  <c:v>0.0159251847026152</c:v>
                </c:pt>
              </c:numCache>
            </c:numRef>
          </c:val>
          <c:smooth val="0"/>
        </c:ser>
        <c:ser>
          <c:idx val="0"/>
          <c:order val="3"/>
          <c:tx>
            <c:strRef>
              <c:f>Estimations!$C$2:$C$3</c:f>
              <c:strCache>
                <c:ptCount val="1"/>
                <c:pt idx="0">
                  <c:v>Taux OAT 10 ans</c:v>
                </c:pt>
              </c:strCache>
            </c:strRef>
          </c:tx>
          <c:marker>
            <c:symbol val="none"/>
          </c:marker>
          <c:cat>
            <c:numRef>
              <c:f>Estimations!$A$4:$A$21</c:f>
              <c:numCache>
                <c:formatCode>General</c:formatCode>
                <c:ptCount val="18"/>
                <c:pt idx="0">
                  <c:v>2001.0</c:v>
                </c:pt>
                <c:pt idx="1">
                  <c:v>2002.0</c:v>
                </c:pt>
                <c:pt idx="2">
                  <c:v>2003.0</c:v>
                </c:pt>
                <c:pt idx="3">
                  <c:v>2004.0</c:v>
                </c:pt>
                <c:pt idx="4">
                  <c:v>2005.0</c:v>
                </c:pt>
                <c:pt idx="5">
                  <c:v>2006.0</c:v>
                </c:pt>
                <c:pt idx="6">
                  <c:v>2007.0</c:v>
                </c:pt>
                <c:pt idx="7">
                  <c:v>2008.0</c:v>
                </c:pt>
                <c:pt idx="8">
                  <c:v>2009.0</c:v>
                </c:pt>
                <c:pt idx="9">
                  <c:v>2010.0</c:v>
                </c:pt>
                <c:pt idx="10">
                  <c:v>2011.0</c:v>
                </c:pt>
                <c:pt idx="11">
                  <c:v>2012.0</c:v>
                </c:pt>
                <c:pt idx="12">
                  <c:v>2013.0</c:v>
                </c:pt>
                <c:pt idx="13">
                  <c:v>2014.0</c:v>
                </c:pt>
                <c:pt idx="14">
                  <c:v>2015.0</c:v>
                </c:pt>
                <c:pt idx="15">
                  <c:v>2016.0</c:v>
                </c:pt>
                <c:pt idx="16">
                  <c:v>2017.0</c:v>
                </c:pt>
                <c:pt idx="17">
                  <c:v>2018.0</c:v>
                </c:pt>
              </c:numCache>
            </c:numRef>
          </c:cat>
          <c:val>
            <c:numRef>
              <c:f>Estimations!$C$4:$C$21</c:f>
              <c:numCache>
                <c:formatCode>0.00%</c:formatCode>
                <c:ptCount val="18"/>
                <c:pt idx="0">
                  <c:v>0.0493773437500001</c:v>
                </c:pt>
                <c:pt idx="1">
                  <c:v>0.0485732283464567</c:v>
                </c:pt>
                <c:pt idx="2">
                  <c:v>0.0413125</c:v>
                </c:pt>
                <c:pt idx="3">
                  <c:v>0.0409542692307692</c:v>
                </c:pt>
                <c:pt idx="4">
                  <c:v>0.0340615738521401</c:v>
                </c:pt>
                <c:pt idx="5">
                  <c:v>0.0379451957647059</c:v>
                </c:pt>
                <c:pt idx="6">
                  <c:v>0.0430441360784314</c:v>
                </c:pt>
                <c:pt idx="7">
                  <c:v>0.0423689784108527</c:v>
                </c:pt>
                <c:pt idx="8">
                  <c:v>0.0364844178210117</c:v>
                </c:pt>
                <c:pt idx="9">
                  <c:v>0.0311368889189189</c:v>
                </c:pt>
                <c:pt idx="10">
                  <c:v>0.0331695063565892</c:v>
                </c:pt>
                <c:pt idx="11">
                  <c:v>0.0253591410116731</c:v>
                </c:pt>
                <c:pt idx="12">
                  <c:v>0.0220517356078431</c:v>
                </c:pt>
                <c:pt idx="13">
                  <c:v>0.0166058823529412</c:v>
                </c:pt>
                <c:pt idx="14">
                  <c:v>0.00845548</c:v>
                </c:pt>
                <c:pt idx="15">
                  <c:v>0.004640234375</c:v>
                </c:pt>
                <c:pt idx="16">
                  <c:v>0.00809302788844621</c:v>
                </c:pt>
                <c:pt idx="17">
                  <c:v>0.00783851778656127</c:v>
                </c:pt>
              </c:numCache>
            </c:numRef>
          </c:val>
          <c:smooth val="0"/>
        </c:ser>
        <c:ser>
          <c:idx val="4"/>
          <c:order val="4"/>
          <c:tx>
            <c:strRef>
              <c:f>Estimations!$E$2:$E$3</c:f>
              <c:strCache>
                <c:ptCount val="1"/>
                <c:pt idx="0">
                  <c:v>Taux moyen dette Argenteuil (?)</c:v>
                </c:pt>
              </c:strCache>
            </c:strRef>
          </c:tx>
          <c:spPr>
            <a:ln>
              <a:noFill/>
            </a:ln>
          </c:spPr>
          <c:marker>
            <c:symbol val="circle"/>
            <c:size val="9"/>
            <c:spPr>
              <a:solidFill>
                <a:srgbClr val="000090"/>
              </a:solidFill>
            </c:spPr>
          </c:marker>
          <c:cat>
            <c:numRef>
              <c:f>Estimations!$A$4:$A$21</c:f>
              <c:numCache>
                <c:formatCode>General</c:formatCode>
                <c:ptCount val="18"/>
                <c:pt idx="0">
                  <c:v>2001.0</c:v>
                </c:pt>
                <c:pt idx="1">
                  <c:v>2002.0</c:v>
                </c:pt>
                <c:pt idx="2">
                  <c:v>2003.0</c:v>
                </c:pt>
                <c:pt idx="3">
                  <c:v>2004.0</c:v>
                </c:pt>
                <c:pt idx="4">
                  <c:v>2005.0</c:v>
                </c:pt>
                <c:pt idx="5">
                  <c:v>2006.0</c:v>
                </c:pt>
                <c:pt idx="6">
                  <c:v>2007.0</c:v>
                </c:pt>
                <c:pt idx="7">
                  <c:v>2008.0</c:v>
                </c:pt>
                <c:pt idx="8">
                  <c:v>2009.0</c:v>
                </c:pt>
                <c:pt idx="9">
                  <c:v>2010.0</c:v>
                </c:pt>
                <c:pt idx="10">
                  <c:v>2011.0</c:v>
                </c:pt>
                <c:pt idx="11">
                  <c:v>2012.0</c:v>
                </c:pt>
                <c:pt idx="12">
                  <c:v>2013.0</c:v>
                </c:pt>
                <c:pt idx="13">
                  <c:v>2014.0</c:v>
                </c:pt>
                <c:pt idx="14">
                  <c:v>2015.0</c:v>
                </c:pt>
                <c:pt idx="15">
                  <c:v>2016.0</c:v>
                </c:pt>
                <c:pt idx="16">
                  <c:v>2017.0</c:v>
                </c:pt>
                <c:pt idx="17">
                  <c:v>2018.0</c:v>
                </c:pt>
              </c:numCache>
            </c:numRef>
          </c:cat>
          <c:val>
            <c:numRef>
              <c:f>Estimations!$E$4:$E$21</c:f>
              <c:numCache>
                <c:formatCode>0.00%</c:formatCode>
                <c:ptCount val="18"/>
                <c:pt idx="0">
                  <c:v>0.055037441021177</c:v>
                </c:pt>
                <c:pt idx="1">
                  <c:v>0.0593472542633474</c:v>
                </c:pt>
                <c:pt idx="2">
                  <c:v>0.0487635068212319</c:v>
                </c:pt>
                <c:pt idx="3">
                  <c:v>0.0409291043555712</c:v>
                </c:pt>
                <c:pt idx="4">
                  <c:v>0.0404231756937225</c:v>
                </c:pt>
                <c:pt idx="5">
                  <c:v>0.0322597742959717</c:v>
                </c:pt>
                <c:pt idx="6">
                  <c:v>0.034547301580624</c:v>
                </c:pt>
                <c:pt idx="7">
                  <c:v>0.0289084100706586</c:v>
                </c:pt>
                <c:pt idx="8">
                  <c:v>0.0322996607415582</c:v>
                </c:pt>
                <c:pt idx="9">
                  <c:v>0.0286694437585294</c:v>
                </c:pt>
                <c:pt idx="10">
                  <c:v>0.0335386406906711</c:v>
                </c:pt>
                <c:pt idx="11">
                  <c:v>0.0535940849958144</c:v>
                </c:pt>
                <c:pt idx="12">
                  <c:v>0.0332298546271913</c:v>
                </c:pt>
                <c:pt idx="13">
                  <c:v>0.0392429312021007</c:v>
                </c:pt>
                <c:pt idx="14">
                  <c:v>0.038615044234246</c:v>
                </c:pt>
                <c:pt idx="15">
                  <c:v>0.0378637133244691</c:v>
                </c:pt>
                <c:pt idx="16">
                  <c:v>0.0378258529994266</c:v>
                </c:pt>
                <c:pt idx="17">
                  <c:v>0.0380922969935409</c:v>
                </c:pt>
              </c:numCache>
            </c:numRef>
          </c:val>
          <c:smooth val="0"/>
        </c:ser>
        <c:ser>
          <c:idx val="5"/>
          <c:order val="5"/>
          <c:tx>
            <c:strRef>
              <c:f>Estimations!$F$2:$F$3</c:f>
              <c:strCache>
                <c:ptCount val="1"/>
                <c:pt idx="0">
                  <c:v>Taux moyen de la dette locale</c:v>
                </c:pt>
              </c:strCache>
            </c:strRef>
          </c:tx>
          <c:spPr>
            <a:ln>
              <a:noFill/>
            </a:ln>
          </c:spPr>
          <c:marker>
            <c:symbol val="triangle"/>
            <c:size val="9"/>
            <c:spPr>
              <a:solidFill>
                <a:srgbClr val="FF6600">
                  <a:alpha val="50000"/>
                </a:srgbClr>
              </a:solidFill>
              <a:ln>
                <a:solidFill>
                  <a:srgbClr val="FF6600"/>
                </a:solidFill>
              </a:ln>
            </c:spPr>
          </c:marker>
          <c:cat>
            <c:numRef>
              <c:f>Estimations!$A$4:$A$21</c:f>
              <c:numCache>
                <c:formatCode>General</c:formatCode>
                <c:ptCount val="18"/>
                <c:pt idx="0">
                  <c:v>2001.0</c:v>
                </c:pt>
                <c:pt idx="1">
                  <c:v>2002.0</c:v>
                </c:pt>
                <c:pt idx="2">
                  <c:v>2003.0</c:v>
                </c:pt>
                <c:pt idx="3">
                  <c:v>2004.0</c:v>
                </c:pt>
                <c:pt idx="4">
                  <c:v>2005.0</c:v>
                </c:pt>
                <c:pt idx="5">
                  <c:v>2006.0</c:v>
                </c:pt>
                <c:pt idx="6">
                  <c:v>2007.0</c:v>
                </c:pt>
                <c:pt idx="7">
                  <c:v>2008.0</c:v>
                </c:pt>
                <c:pt idx="8">
                  <c:v>2009.0</c:v>
                </c:pt>
                <c:pt idx="9">
                  <c:v>2010.0</c:v>
                </c:pt>
                <c:pt idx="10">
                  <c:v>2011.0</c:v>
                </c:pt>
                <c:pt idx="11">
                  <c:v>2012.0</c:v>
                </c:pt>
                <c:pt idx="12">
                  <c:v>2013.0</c:v>
                </c:pt>
                <c:pt idx="13">
                  <c:v>2014.0</c:v>
                </c:pt>
                <c:pt idx="14">
                  <c:v>2015.0</c:v>
                </c:pt>
                <c:pt idx="15">
                  <c:v>2016.0</c:v>
                </c:pt>
                <c:pt idx="16">
                  <c:v>2017.0</c:v>
                </c:pt>
                <c:pt idx="17">
                  <c:v>2018.0</c:v>
                </c:pt>
              </c:numCache>
            </c:numRef>
          </c:cat>
          <c:val>
            <c:numRef>
              <c:f>Estimations!$F$4:$F$21</c:f>
              <c:numCache>
                <c:formatCode>General</c:formatCode>
                <c:ptCount val="18"/>
                <c:pt idx="4" formatCode="0.00%">
                  <c:v>0.0356</c:v>
                </c:pt>
                <c:pt idx="5" formatCode="0.00%">
                  <c:v>0.0392</c:v>
                </c:pt>
                <c:pt idx="6" formatCode="0.00%">
                  <c:v>0.0415</c:v>
                </c:pt>
                <c:pt idx="7" formatCode="0.00%">
                  <c:v>0.0379</c:v>
                </c:pt>
                <c:pt idx="8" formatCode="0.00%">
                  <c:v>0.0297</c:v>
                </c:pt>
                <c:pt idx="9" formatCode="0.00%">
                  <c:v>0.0309</c:v>
                </c:pt>
                <c:pt idx="10" formatCode="0.00%">
                  <c:v>0.0329</c:v>
                </c:pt>
                <c:pt idx="11" formatCode="0.00%">
                  <c:v>0.0313</c:v>
                </c:pt>
                <c:pt idx="12" formatCode="0.00%">
                  <c:v>0.0305</c:v>
                </c:pt>
                <c:pt idx="13" formatCode="0.00%">
                  <c:v>0.0295</c:v>
                </c:pt>
                <c:pt idx="14" formatCode="0.00%">
                  <c:v>0.028</c:v>
                </c:pt>
                <c:pt idx="15" formatCode="0.00%">
                  <c:v>0.0252</c:v>
                </c:pt>
                <c:pt idx="16" formatCode="0.00%">
                  <c:v>0.0237</c:v>
                </c:pt>
              </c:numCache>
            </c:numRef>
          </c:val>
          <c:smooth val="0"/>
        </c:ser>
        <c:dLbls>
          <c:showLegendKey val="0"/>
          <c:showVal val="0"/>
          <c:showCatName val="0"/>
          <c:showSerName val="0"/>
          <c:showPercent val="0"/>
          <c:showBubbleSize val="0"/>
        </c:dLbls>
        <c:marker val="1"/>
        <c:smooth val="0"/>
        <c:axId val="1587579864"/>
        <c:axId val="1588038280"/>
      </c:lineChart>
      <c:catAx>
        <c:axId val="1587579864"/>
        <c:scaling>
          <c:orientation val="minMax"/>
        </c:scaling>
        <c:delete val="0"/>
        <c:axPos val="b"/>
        <c:numFmt formatCode="General" sourceLinked="1"/>
        <c:majorTickMark val="out"/>
        <c:minorTickMark val="none"/>
        <c:tickLblPos val="nextTo"/>
        <c:crossAx val="1588038280"/>
        <c:crosses val="autoZero"/>
        <c:auto val="1"/>
        <c:lblAlgn val="ctr"/>
        <c:lblOffset val="100"/>
        <c:noMultiLvlLbl val="0"/>
      </c:catAx>
      <c:valAx>
        <c:axId val="1588038280"/>
        <c:scaling>
          <c:orientation val="minMax"/>
          <c:max val="0.065"/>
          <c:min val="1.0E-5"/>
        </c:scaling>
        <c:delete val="0"/>
        <c:axPos val="l"/>
        <c:majorGridlines/>
        <c:numFmt formatCode="0.0%" sourceLinked="0"/>
        <c:majorTickMark val="none"/>
        <c:minorTickMark val="none"/>
        <c:tickLblPos val="nextTo"/>
        <c:crossAx val="1587579864"/>
        <c:crosses val="autoZero"/>
        <c:crossBetween val="between"/>
        <c:majorUnit val="0.01"/>
      </c:valAx>
      <c:spPr>
        <a:ln>
          <a:solidFill>
            <a:schemeClr val="tx1">
              <a:lumMod val="50000"/>
              <a:lumOff val="50000"/>
            </a:schemeClr>
          </a:solidFill>
        </a:ln>
      </c:spPr>
    </c:plotArea>
    <c:legend>
      <c:legendPos val="r"/>
      <c:layout/>
      <c:overlay val="0"/>
    </c:legend>
    <c:plotVisOnly val="1"/>
    <c:dispBlanksAs val="zero"/>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0"/>
          <c:tx>
            <c:strRef>
              <c:f>pour_pointage_par_emprunt!$A$3</c:f>
              <c:strCache>
                <c:ptCount val="1"/>
                <c:pt idx="0">
                  <c:v>Max sur Encours_31_dec</c:v>
                </c:pt>
              </c:strCache>
            </c:strRef>
          </c:tx>
          <c:invertIfNegative val="0"/>
          <c:cat>
            <c:numRef>
              <c:f>pour_pointage_par_emprunt!$B$2:$S$2</c:f>
              <c:numCache>
                <c:formatCode>General</c:formatCode>
                <c:ptCount val="18"/>
                <c:pt idx="0">
                  <c:v>2001.0</c:v>
                </c:pt>
                <c:pt idx="1">
                  <c:v>2002.0</c:v>
                </c:pt>
                <c:pt idx="2">
                  <c:v>2003.0</c:v>
                </c:pt>
                <c:pt idx="3">
                  <c:v>2004.0</c:v>
                </c:pt>
                <c:pt idx="4">
                  <c:v>2005.0</c:v>
                </c:pt>
                <c:pt idx="5">
                  <c:v>2006.0</c:v>
                </c:pt>
                <c:pt idx="6">
                  <c:v>2007.0</c:v>
                </c:pt>
                <c:pt idx="7">
                  <c:v>2008.0</c:v>
                </c:pt>
                <c:pt idx="8">
                  <c:v>2009.0</c:v>
                </c:pt>
                <c:pt idx="9">
                  <c:v>2010.0</c:v>
                </c:pt>
                <c:pt idx="10">
                  <c:v>2011.0</c:v>
                </c:pt>
                <c:pt idx="11">
                  <c:v>2012.0</c:v>
                </c:pt>
                <c:pt idx="12">
                  <c:v>2013.0</c:v>
                </c:pt>
                <c:pt idx="13">
                  <c:v>2014.0</c:v>
                </c:pt>
                <c:pt idx="14">
                  <c:v>2015.0</c:v>
                </c:pt>
                <c:pt idx="15">
                  <c:v>2016.0</c:v>
                </c:pt>
                <c:pt idx="16">
                  <c:v>2017.0</c:v>
                </c:pt>
                <c:pt idx="17">
                  <c:v>2018.0</c:v>
                </c:pt>
              </c:numCache>
            </c:numRef>
          </c:cat>
          <c:val>
            <c:numRef>
              <c:f>pour_pointage_par_emprunt!$B$3:$S$3</c:f>
              <c:numCache>
                <c:formatCode>General</c:formatCode>
                <c:ptCount val="18"/>
                <c:pt idx="0">
                  <c:v>1.37946410726729E6</c:v>
                </c:pt>
                <c:pt idx="1">
                  <c:v>1.379254E6</c:v>
                </c:pt>
                <c:pt idx="2">
                  <c:v>1.379254E6</c:v>
                </c:pt>
                <c:pt idx="3">
                  <c:v>1.284876E6</c:v>
                </c:pt>
                <c:pt idx="4">
                  <c:v>1.185269E6</c:v>
                </c:pt>
                <c:pt idx="5">
                  <c:v>1.071071E6</c:v>
                </c:pt>
                <c:pt idx="6">
                  <c:v>952848.0</c:v>
                </c:pt>
                <c:pt idx="7">
                  <c:v>830457.0</c:v>
                </c:pt>
                <c:pt idx="8">
                  <c:v>703753.0</c:v>
                </c:pt>
                <c:pt idx="9">
                  <c:v>572581.0</c:v>
                </c:pt>
                <c:pt idx="10">
                  <c:v>436786.0</c:v>
                </c:pt>
                <c:pt idx="11">
                  <c:v>295284.0</c:v>
                </c:pt>
                <c:pt idx="12">
                  <c:v>149727.0</c:v>
                </c:pt>
                <c:pt idx="13">
                  <c:v>0.0</c:v>
                </c:pt>
                <c:pt idx="14">
                  <c:v>0.0</c:v>
                </c:pt>
                <c:pt idx="15">
                  <c:v>0.0</c:v>
                </c:pt>
                <c:pt idx="16">
                  <c:v>0.0</c:v>
                </c:pt>
                <c:pt idx="17">
                  <c:v>0.0</c:v>
                </c:pt>
              </c:numCache>
            </c:numRef>
          </c:val>
        </c:ser>
        <c:ser>
          <c:idx val="4"/>
          <c:order val="3"/>
          <c:tx>
            <c:strRef>
              <c:f>pour_pointage_par_emprunt!$A$6</c:f>
              <c:strCache>
                <c:ptCount val="1"/>
                <c:pt idx="0">
                  <c:v>Somme sur Refinancement</c:v>
                </c:pt>
              </c:strCache>
            </c:strRef>
          </c:tx>
          <c:invertIfNegative val="0"/>
          <c:cat>
            <c:numRef>
              <c:f>pour_pointage_par_emprunt!$B$2:$S$2</c:f>
              <c:numCache>
                <c:formatCode>General</c:formatCode>
                <c:ptCount val="18"/>
                <c:pt idx="0">
                  <c:v>2001.0</c:v>
                </c:pt>
                <c:pt idx="1">
                  <c:v>2002.0</c:v>
                </c:pt>
                <c:pt idx="2">
                  <c:v>2003.0</c:v>
                </c:pt>
                <c:pt idx="3">
                  <c:v>2004.0</c:v>
                </c:pt>
                <c:pt idx="4">
                  <c:v>2005.0</c:v>
                </c:pt>
                <c:pt idx="5">
                  <c:v>2006.0</c:v>
                </c:pt>
                <c:pt idx="6">
                  <c:v>2007.0</c:v>
                </c:pt>
                <c:pt idx="7">
                  <c:v>2008.0</c:v>
                </c:pt>
                <c:pt idx="8">
                  <c:v>2009.0</c:v>
                </c:pt>
                <c:pt idx="9">
                  <c:v>2010.0</c:v>
                </c:pt>
                <c:pt idx="10">
                  <c:v>2011.0</c:v>
                </c:pt>
                <c:pt idx="11">
                  <c:v>2012.0</c:v>
                </c:pt>
                <c:pt idx="12">
                  <c:v>2013.0</c:v>
                </c:pt>
                <c:pt idx="13">
                  <c:v>2014.0</c:v>
                </c:pt>
                <c:pt idx="14">
                  <c:v>2015.0</c:v>
                </c:pt>
                <c:pt idx="15">
                  <c:v>2016.0</c:v>
                </c:pt>
                <c:pt idx="16">
                  <c:v>2017.0</c:v>
                </c:pt>
                <c:pt idx="17">
                  <c:v>2018.0</c:v>
                </c:pt>
              </c:numCache>
            </c:numRef>
          </c:cat>
          <c:val>
            <c:numRef>
              <c:f>pour_pointage_par_emprunt!$B$6:$S$6</c:f>
              <c:numCache>
                <c:formatCode>General</c:formatCode>
                <c:ptCount val="18"/>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numCache>
            </c:numRef>
          </c:val>
        </c:ser>
        <c:dLbls>
          <c:showLegendKey val="0"/>
          <c:showVal val="0"/>
          <c:showCatName val="0"/>
          <c:showSerName val="0"/>
          <c:showPercent val="0"/>
          <c:showBubbleSize val="0"/>
        </c:dLbls>
        <c:gapWidth val="150"/>
        <c:axId val="1572878360"/>
        <c:axId val="1572884392"/>
      </c:barChart>
      <c:lineChart>
        <c:grouping val="standard"/>
        <c:varyColors val="0"/>
        <c:ser>
          <c:idx val="2"/>
          <c:order val="1"/>
          <c:tx>
            <c:strRef>
              <c:f>pour_pointage_par_emprunt!$A$4</c:f>
              <c:strCache>
                <c:ptCount val="1"/>
                <c:pt idx="0">
                  <c:v>Somme sur Intérêt</c:v>
                </c:pt>
              </c:strCache>
            </c:strRef>
          </c:tx>
          <c:cat>
            <c:numRef>
              <c:f>pour_pointage_par_emprunt!$B$2:$S$2</c:f>
              <c:numCache>
                <c:formatCode>General</c:formatCode>
                <c:ptCount val="18"/>
                <c:pt idx="0">
                  <c:v>2001.0</c:v>
                </c:pt>
                <c:pt idx="1">
                  <c:v>2002.0</c:v>
                </c:pt>
                <c:pt idx="2">
                  <c:v>2003.0</c:v>
                </c:pt>
                <c:pt idx="3">
                  <c:v>2004.0</c:v>
                </c:pt>
                <c:pt idx="4">
                  <c:v>2005.0</c:v>
                </c:pt>
                <c:pt idx="5">
                  <c:v>2006.0</c:v>
                </c:pt>
                <c:pt idx="6">
                  <c:v>2007.0</c:v>
                </c:pt>
                <c:pt idx="7">
                  <c:v>2008.0</c:v>
                </c:pt>
                <c:pt idx="8">
                  <c:v>2009.0</c:v>
                </c:pt>
                <c:pt idx="9">
                  <c:v>2010.0</c:v>
                </c:pt>
                <c:pt idx="10">
                  <c:v>2011.0</c:v>
                </c:pt>
                <c:pt idx="11">
                  <c:v>2012.0</c:v>
                </c:pt>
                <c:pt idx="12">
                  <c:v>2013.0</c:v>
                </c:pt>
                <c:pt idx="13">
                  <c:v>2014.0</c:v>
                </c:pt>
                <c:pt idx="14">
                  <c:v>2015.0</c:v>
                </c:pt>
                <c:pt idx="15">
                  <c:v>2016.0</c:v>
                </c:pt>
                <c:pt idx="16">
                  <c:v>2017.0</c:v>
                </c:pt>
                <c:pt idx="17">
                  <c:v>2018.0</c:v>
                </c:pt>
              </c:numCache>
            </c:numRef>
          </c:cat>
          <c:val>
            <c:numRef>
              <c:f>pour_pointage_par_emprunt!$B$4:$S$4</c:f>
              <c:numCache>
                <c:formatCode>General</c:formatCode>
                <c:ptCount val="18"/>
                <c:pt idx="0">
                  <c:v>80371.93321105058</c:v>
                </c:pt>
                <c:pt idx="1">
                  <c:v>76410.66</c:v>
                </c:pt>
                <c:pt idx="2">
                  <c:v>76410.66</c:v>
                </c:pt>
                <c:pt idx="3">
                  <c:v>76410.66</c:v>
                </c:pt>
                <c:pt idx="4">
                  <c:v>71182.11</c:v>
                </c:pt>
                <c:pt idx="5">
                  <c:v>41780.73</c:v>
                </c:pt>
                <c:pt idx="6">
                  <c:v>37755.26</c:v>
                </c:pt>
                <c:pt idx="7">
                  <c:v>33587.89</c:v>
                </c:pt>
                <c:pt idx="8">
                  <c:v>29273.63</c:v>
                </c:pt>
                <c:pt idx="9">
                  <c:v>24807.28</c:v>
                </c:pt>
                <c:pt idx="10">
                  <c:v>19782.19</c:v>
                </c:pt>
                <c:pt idx="11">
                  <c:v>8459.879999999999</c:v>
                </c:pt>
                <c:pt idx="12">
                  <c:v>8459.879999999999</c:v>
                </c:pt>
                <c:pt idx="13">
                  <c:v>4289.68</c:v>
                </c:pt>
                <c:pt idx="14">
                  <c:v>0.0</c:v>
                </c:pt>
                <c:pt idx="15">
                  <c:v>0.0</c:v>
                </c:pt>
                <c:pt idx="16">
                  <c:v>0.0</c:v>
                </c:pt>
                <c:pt idx="17">
                  <c:v>0.0</c:v>
                </c:pt>
              </c:numCache>
            </c:numRef>
          </c:val>
          <c:smooth val="0"/>
        </c:ser>
        <c:ser>
          <c:idx val="3"/>
          <c:order val="2"/>
          <c:tx>
            <c:strRef>
              <c:f>pour_pointage_par_emprunt!$A$5</c:f>
              <c:strCache>
                <c:ptCount val="1"/>
                <c:pt idx="0">
                  <c:v>Somme sur Amort</c:v>
                </c:pt>
              </c:strCache>
            </c:strRef>
          </c:tx>
          <c:cat>
            <c:numRef>
              <c:f>pour_pointage_par_emprunt!$B$2:$S$2</c:f>
              <c:numCache>
                <c:formatCode>General</c:formatCode>
                <c:ptCount val="18"/>
                <c:pt idx="0">
                  <c:v>2001.0</c:v>
                </c:pt>
                <c:pt idx="1">
                  <c:v>2002.0</c:v>
                </c:pt>
                <c:pt idx="2">
                  <c:v>2003.0</c:v>
                </c:pt>
                <c:pt idx="3">
                  <c:v>2004.0</c:v>
                </c:pt>
                <c:pt idx="4">
                  <c:v>2005.0</c:v>
                </c:pt>
                <c:pt idx="5">
                  <c:v>2006.0</c:v>
                </c:pt>
                <c:pt idx="6">
                  <c:v>2007.0</c:v>
                </c:pt>
                <c:pt idx="7">
                  <c:v>2008.0</c:v>
                </c:pt>
                <c:pt idx="8">
                  <c:v>2009.0</c:v>
                </c:pt>
                <c:pt idx="9">
                  <c:v>2010.0</c:v>
                </c:pt>
                <c:pt idx="10">
                  <c:v>2011.0</c:v>
                </c:pt>
                <c:pt idx="11">
                  <c:v>2012.0</c:v>
                </c:pt>
                <c:pt idx="12">
                  <c:v>2013.0</c:v>
                </c:pt>
                <c:pt idx="13">
                  <c:v>2014.0</c:v>
                </c:pt>
                <c:pt idx="14">
                  <c:v>2015.0</c:v>
                </c:pt>
                <c:pt idx="15">
                  <c:v>2016.0</c:v>
                </c:pt>
                <c:pt idx="16">
                  <c:v>2017.0</c:v>
                </c:pt>
                <c:pt idx="17">
                  <c:v>2018.0</c:v>
                </c:pt>
              </c:numCache>
            </c:numRef>
          </c:cat>
          <c:val>
            <c:numRef>
              <c:f>pour_pointage_par_emprunt!$B$5:$S$5</c:f>
              <c:numCache>
                <c:formatCode>General</c:formatCode>
                <c:ptCount val="18"/>
                <c:pt idx="0">
                  <c:v>71292.68880258959</c:v>
                </c:pt>
                <c:pt idx="1">
                  <c:v>0.0</c:v>
                </c:pt>
                <c:pt idx="2">
                  <c:v>0.0</c:v>
                </c:pt>
                <c:pt idx="3">
                  <c:v>94378.14</c:v>
                </c:pt>
                <c:pt idx="4">
                  <c:v>99606.69</c:v>
                </c:pt>
                <c:pt idx="5">
                  <c:v>114197.74</c:v>
                </c:pt>
                <c:pt idx="6">
                  <c:v>118223.21</c:v>
                </c:pt>
                <c:pt idx="7">
                  <c:v>122390.58</c:v>
                </c:pt>
                <c:pt idx="8">
                  <c:v>126704.84</c:v>
                </c:pt>
                <c:pt idx="9">
                  <c:v>131171.19</c:v>
                </c:pt>
                <c:pt idx="10">
                  <c:v>135794.97</c:v>
                </c:pt>
                <c:pt idx="11">
                  <c:v>145556.77</c:v>
                </c:pt>
                <c:pt idx="12">
                  <c:v>145556.77</c:v>
                </c:pt>
                <c:pt idx="13">
                  <c:v>149726.96</c:v>
                </c:pt>
                <c:pt idx="14">
                  <c:v>0.0</c:v>
                </c:pt>
                <c:pt idx="15">
                  <c:v>0.0</c:v>
                </c:pt>
                <c:pt idx="16">
                  <c:v>0.0</c:v>
                </c:pt>
                <c:pt idx="17">
                  <c:v>0.0</c:v>
                </c:pt>
              </c:numCache>
            </c:numRef>
          </c:val>
          <c:smooth val="0"/>
        </c:ser>
        <c:dLbls>
          <c:showLegendKey val="0"/>
          <c:showVal val="0"/>
          <c:showCatName val="0"/>
          <c:showSerName val="0"/>
          <c:showPercent val="0"/>
          <c:showBubbleSize val="0"/>
        </c:dLbls>
        <c:marker val="1"/>
        <c:smooth val="0"/>
        <c:axId val="1572904376"/>
        <c:axId val="1572897976"/>
      </c:lineChart>
      <c:catAx>
        <c:axId val="1572904376"/>
        <c:scaling>
          <c:orientation val="minMax"/>
        </c:scaling>
        <c:delete val="0"/>
        <c:axPos val="b"/>
        <c:numFmt formatCode="General" sourceLinked="1"/>
        <c:majorTickMark val="out"/>
        <c:minorTickMark val="none"/>
        <c:tickLblPos val="nextTo"/>
        <c:txPr>
          <a:bodyPr/>
          <a:lstStyle/>
          <a:p>
            <a:pPr>
              <a:defRPr sz="1200"/>
            </a:pPr>
            <a:endParaRPr lang="fr-FR"/>
          </a:p>
        </c:txPr>
        <c:crossAx val="1572897976"/>
        <c:crosses val="autoZero"/>
        <c:auto val="1"/>
        <c:lblAlgn val="ctr"/>
        <c:lblOffset val="100"/>
        <c:noMultiLvlLbl val="0"/>
      </c:catAx>
      <c:valAx>
        <c:axId val="1572897976"/>
        <c:scaling>
          <c:orientation val="minMax"/>
        </c:scaling>
        <c:delete val="0"/>
        <c:axPos val="l"/>
        <c:majorGridlines/>
        <c:numFmt formatCode="#,##0" sourceLinked="0"/>
        <c:majorTickMark val="out"/>
        <c:minorTickMark val="none"/>
        <c:tickLblPos val="nextTo"/>
        <c:txPr>
          <a:bodyPr/>
          <a:lstStyle/>
          <a:p>
            <a:pPr>
              <a:defRPr sz="1100"/>
            </a:pPr>
            <a:endParaRPr lang="fr-FR"/>
          </a:p>
        </c:txPr>
        <c:crossAx val="1572904376"/>
        <c:crosses val="autoZero"/>
        <c:crossBetween val="between"/>
      </c:valAx>
      <c:valAx>
        <c:axId val="1572884392"/>
        <c:scaling>
          <c:orientation val="minMax"/>
        </c:scaling>
        <c:delete val="0"/>
        <c:axPos val="r"/>
        <c:numFmt formatCode="#,##0" sourceLinked="0"/>
        <c:majorTickMark val="out"/>
        <c:minorTickMark val="none"/>
        <c:tickLblPos val="nextTo"/>
        <c:txPr>
          <a:bodyPr/>
          <a:lstStyle/>
          <a:p>
            <a:pPr>
              <a:defRPr sz="1200">
                <a:solidFill>
                  <a:srgbClr val="008000"/>
                </a:solidFill>
              </a:defRPr>
            </a:pPr>
            <a:endParaRPr lang="fr-FR"/>
          </a:p>
        </c:txPr>
        <c:crossAx val="1572878360"/>
        <c:crosses val="max"/>
        <c:crossBetween val="between"/>
      </c:valAx>
      <c:catAx>
        <c:axId val="1572878360"/>
        <c:scaling>
          <c:orientation val="minMax"/>
        </c:scaling>
        <c:delete val="1"/>
        <c:axPos val="b"/>
        <c:numFmt formatCode="General" sourceLinked="1"/>
        <c:majorTickMark val="out"/>
        <c:minorTickMark val="none"/>
        <c:tickLblPos val="nextTo"/>
        <c:crossAx val="1572884392"/>
        <c:crosses val="autoZero"/>
        <c:auto val="1"/>
        <c:lblAlgn val="ctr"/>
        <c:lblOffset val="100"/>
        <c:noMultiLvlLbl val="0"/>
      </c:catAx>
    </c:plotArea>
    <c:legend>
      <c:legendPos val="r"/>
      <c:layout/>
      <c:overlay val="0"/>
    </c:legend>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916034754276405"/>
          <c:y val="0.0294189603863274"/>
          <c:w val="0.897589682324192"/>
          <c:h val="0.905573868407974"/>
        </c:manualLayout>
      </c:layout>
      <c:lineChart>
        <c:grouping val="standard"/>
        <c:varyColors val="0"/>
        <c:ser>
          <c:idx val="0"/>
          <c:order val="0"/>
          <c:tx>
            <c:strRef>
              <c:f>preteurs_annees!$E$1</c:f>
              <c:strCache>
                <c:ptCount val="1"/>
                <c:pt idx="0">
                  <c:v>Encours_fin</c:v>
                </c:pt>
              </c:strCache>
            </c:strRef>
          </c:tx>
          <c:cat>
            <c:numRef>
              <c:f>preteurs_annees!$A$2:$A$221</c:f>
              <c:numCache>
                <c:formatCode>General</c:formatCode>
                <c:ptCount val="220"/>
                <c:pt idx="0">
                  <c:v>2000.0</c:v>
                </c:pt>
                <c:pt idx="1">
                  <c:v>2000.0</c:v>
                </c:pt>
                <c:pt idx="2">
                  <c:v>2000.0</c:v>
                </c:pt>
                <c:pt idx="3">
                  <c:v>2000.0</c:v>
                </c:pt>
                <c:pt idx="4">
                  <c:v>2000.0</c:v>
                </c:pt>
                <c:pt idx="5">
                  <c:v>2000.0</c:v>
                </c:pt>
                <c:pt idx="6">
                  <c:v>2000.0</c:v>
                </c:pt>
                <c:pt idx="7">
                  <c:v>2000.0</c:v>
                </c:pt>
                <c:pt idx="8">
                  <c:v>2000.0</c:v>
                </c:pt>
                <c:pt idx="9">
                  <c:v>2000.0</c:v>
                </c:pt>
                <c:pt idx="10">
                  <c:v>2000.0</c:v>
                </c:pt>
                <c:pt idx="11">
                  <c:v>2001.0</c:v>
                </c:pt>
                <c:pt idx="12">
                  <c:v>2001.0</c:v>
                </c:pt>
                <c:pt idx="13">
                  <c:v>2001.0</c:v>
                </c:pt>
                <c:pt idx="14">
                  <c:v>2001.0</c:v>
                </c:pt>
                <c:pt idx="15">
                  <c:v>2001.0</c:v>
                </c:pt>
                <c:pt idx="16">
                  <c:v>2001.0</c:v>
                </c:pt>
                <c:pt idx="17">
                  <c:v>2001.0</c:v>
                </c:pt>
                <c:pt idx="18">
                  <c:v>2001.0</c:v>
                </c:pt>
                <c:pt idx="19">
                  <c:v>2001.0</c:v>
                </c:pt>
                <c:pt idx="20">
                  <c:v>2001.0</c:v>
                </c:pt>
                <c:pt idx="21">
                  <c:v>2001.0</c:v>
                </c:pt>
                <c:pt idx="22">
                  <c:v>2001.0</c:v>
                </c:pt>
                <c:pt idx="23">
                  <c:v>2002.0</c:v>
                </c:pt>
                <c:pt idx="24">
                  <c:v>2002.0</c:v>
                </c:pt>
                <c:pt idx="25">
                  <c:v>2002.0</c:v>
                </c:pt>
                <c:pt idx="26">
                  <c:v>2002.0</c:v>
                </c:pt>
                <c:pt idx="27">
                  <c:v>2002.0</c:v>
                </c:pt>
                <c:pt idx="28">
                  <c:v>2002.0</c:v>
                </c:pt>
                <c:pt idx="29">
                  <c:v>2002.0</c:v>
                </c:pt>
                <c:pt idx="30">
                  <c:v>2002.0</c:v>
                </c:pt>
                <c:pt idx="31">
                  <c:v>2002.0</c:v>
                </c:pt>
                <c:pt idx="32">
                  <c:v>2002.0</c:v>
                </c:pt>
                <c:pt idx="33">
                  <c:v>2002.0</c:v>
                </c:pt>
                <c:pt idx="34">
                  <c:v>2002.0</c:v>
                </c:pt>
                <c:pt idx="35">
                  <c:v>2003.0</c:v>
                </c:pt>
                <c:pt idx="36">
                  <c:v>2003.0</c:v>
                </c:pt>
                <c:pt idx="37">
                  <c:v>2003.0</c:v>
                </c:pt>
                <c:pt idx="38">
                  <c:v>2003.0</c:v>
                </c:pt>
                <c:pt idx="39">
                  <c:v>2003.0</c:v>
                </c:pt>
                <c:pt idx="40">
                  <c:v>2003.0</c:v>
                </c:pt>
                <c:pt idx="41">
                  <c:v>2003.0</c:v>
                </c:pt>
                <c:pt idx="42">
                  <c:v>2003.0</c:v>
                </c:pt>
                <c:pt idx="43">
                  <c:v>2003.0</c:v>
                </c:pt>
                <c:pt idx="44">
                  <c:v>2003.0</c:v>
                </c:pt>
                <c:pt idx="45">
                  <c:v>2003.0</c:v>
                </c:pt>
                <c:pt idx="46">
                  <c:v>2004.0</c:v>
                </c:pt>
                <c:pt idx="47">
                  <c:v>2004.0</c:v>
                </c:pt>
                <c:pt idx="48">
                  <c:v>2004.0</c:v>
                </c:pt>
                <c:pt idx="49">
                  <c:v>2004.0</c:v>
                </c:pt>
                <c:pt idx="50">
                  <c:v>2004.0</c:v>
                </c:pt>
                <c:pt idx="51">
                  <c:v>2004.0</c:v>
                </c:pt>
                <c:pt idx="52">
                  <c:v>2004.0</c:v>
                </c:pt>
                <c:pt idx="53">
                  <c:v>2004.0</c:v>
                </c:pt>
                <c:pt idx="54">
                  <c:v>2004.0</c:v>
                </c:pt>
                <c:pt idx="55">
                  <c:v>2004.0</c:v>
                </c:pt>
                <c:pt idx="56">
                  <c:v>2004.0</c:v>
                </c:pt>
                <c:pt idx="57">
                  <c:v>2005.0</c:v>
                </c:pt>
                <c:pt idx="58">
                  <c:v>2005.0</c:v>
                </c:pt>
                <c:pt idx="59">
                  <c:v>2005.0</c:v>
                </c:pt>
                <c:pt idx="60">
                  <c:v>2005.0</c:v>
                </c:pt>
                <c:pt idx="61">
                  <c:v>2005.0</c:v>
                </c:pt>
                <c:pt idx="62">
                  <c:v>2005.0</c:v>
                </c:pt>
                <c:pt idx="63">
                  <c:v>2005.0</c:v>
                </c:pt>
                <c:pt idx="64">
                  <c:v>2005.0</c:v>
                </c:pt>
                <c:pt idx="65">
                  <c:v>2005.0</c:v>
                </c:pt>
                <c:pt idx="66">
                  <c:v>2005.0</c:v>
                </c:pt>
                <c:pt idx="67">
                  <c:v>2005.0</c:v>
                </c:pt>
                <c:pt idx="68">
                  <c:v>2006.0</c:v>
                </c:pt>
                <c:pt idx="69">
                  <c:v>2006.0</c:v>
                </c:pt>
                <c:pt idx="70">
                  <c:v>2006.0</c:v>
                </c:pt>
                <c:pt idx="71">
                  <c:v>2006.0</c:v>
                </c:pt>
                <c:pt idx="72">
                  <c:v>2006.0</c:v>
                </c:pt>
                <c:pt idx="73">
                  <c:v>2006.0</c:v>
                </c:pt>
                <c:pt idx="74">
                  <c:v>2006.0</c:v>
                </c:pt>
                <c:pt idx="75">
                  <c:v>2006.0</c:v>
                </c:pt>
                <c:pt idx="76">
                  <c:v>2006.0</c:v>
                </c:pt>
                <c:pt idx="77">
                  <c:v>2006.0</c:v>
                </c:pt>
                <c:pt idx="78">
                  <c:v>2006.0</c:v>
                </c:pt>
                <c:pt idx="79">
                  <c:v>2007.0</c:v>
                </c:pt>
                <c:pt idx="80">
                  <c:v>2007.0</c:v>
                </c:pt>
                <c:pt idx="81">
                  <c:v>2007.0</c:v>
                </c:pt>
                <c:pt idx="82">
                  <c:v>2007.0</c:v>
                </c:pt>
                <c:pt idx="83">
                  <c:v>2007.0</c:v>
                </c:pt>
                <c:pt idx="84">
                  <c:v>2007.0</c:v>
                </c:pt>
                <c:pt idx="85">
                  <c:v>2007.0</c:v>
                </c:pt>
                <c:pt idx="86">
                  <c:v>2007.0</c:v>
                </c:pt>
                <c:pt idx="87">
                  <c:v>2007.0</c:v>
                </c:pt>
                <c:pt idx="88">
                  <c:v>2007.0</c:v>
                </c:pt>
                <c:pt idx="89">
                  <c:v>2007.0</c:v>
                </c:pt>
                <c:pt idx="90">
                  <c:v>2008.0</c:v>
                </c:pt>
                <c:pt idx="91">
                  <c:v>2008.0</c:v>
                </c:pt>
                <c:pt idx="92">
                  <c:v>2008.0</c:v>
                </c:pt>
                <c:pt idx="93">
                  <c:v>2008.0</c:v>
                </c:pt>
                <c:pt idx="94">
                  <c:v>2008.0</c:v>
                </c:pt>
                <c:pt idx="95">
                  <c:v>2008.0</c:v>
                </c:pt>
                <c:pt idx="96">
                  <c:v>2008.0</c:v>
                </c:pt>
                <c:pt idx="97">
                  <c:v>2008.0</c:v>
                </c:pt>
                <c:pt idx="98">
                  <c:v>2008.0</c:v>
                </c:pt>
                <c:pt idx="99">
                  <c:v>2008.0</c:v>
                </c:pt>
                <c:pt idx="100">
                  <c:v>2008.0</c:v>
                </c:pt>
                <c:pt idx="101">
                  <c:v>2009.0</c:v>
                </c:pt>
                <c:pt idx="102">
                  <c:v>2009.0</c:v>
                </c:pt>
                <c:pt idx="103">
                  <c:v>2009.0</c:v>
                </c:pt>
                <c:pt idx="104">
                  <c:v>2009.0</c:v>
                </c:pt>
                <c:pt idx="105">
                  <c:v>2009.0</c:v>
                </c:pt>
                <c:pt idx="106">
                  <c:v>2009.0</c:v>
                </c:pt>
                <c:pt idx="107">
                  <c:v>2009.0</c:v>
                </c:pt>
                <c:pt idx="108">
                  <c:v>2009.0</c:v>
                </c:pt>
                <c:pt idx="109">
                  <c:v>2009.0</c:v>
                </c:pt>
                <c:pt idx="110">
                  <c:v>2009.0</c:v>
                </c:pt>
                <c:pt idx="111">
                  <c:v>2009.0</c:v>
                </c:pt>
                <c:pt idx="112">
                  <c:v>2010.0</c:v>
                </c:pt>
                <c:pt idx="113">
                  <c:v>2010.0</c:v>
                </c:pt>
                <c:pt idx="114">
                  <c:v>2010.0</c:v>
                </c:pt>
                <c:pt idx="115">
                  <c:v>2010.0</c:v>
                </c:pt>
                <c:pt idx="116">
                  <c:v>2010.0</c:v>
                </c:pt>
                <c:pt idx="117">
                  <c:v>2010.0</c:v>
                </c:pt>
                <c:pt idx="118">
                  <c:v>2010.0</c:v>
                </c:pt>
                <c:pt idx="119">
                  <c:v>2010.0</c:v>
                </c:pt>
                <c:pt idx="120">
                  <c:v>2010.0</c:v>
                </c:pt>
                <c:pt idx="121">
                  <c:v>2010.0</c:v>
                </c:pt>
                <c:pt idx="122">
                  <c:v>2010.0</c:v>
                </c:pt>
                <c:pt idx="123">
                  <c:v>2010.0</c:v>
                </c:pt>
                <c:pt idx="124">
                  <c:v>2011.0</c:v>
                </c:pt>
                <c:pt idx="125">
                  <c:v>2011.0</c:v>
                </c:pt>
                <c:pt idx="126">
                  <c:v>2011.0</c:v>
                </c:pt>
                <c:pt idx="127">
                  <c:v>2011.0</c:v>
                </c:pt>
                <c:pt idx="128">
                  <c:v>2011.0</c:v>
                </c:pt>
                <c:pt idx="129">
                  <c:v>2011.0</c:v>
                </c:pt>
                <c:pt idx="130">
                  <c:v>2011.0</c:v>
                </c:pt>
                <c:pt idx="131">
                  <c:v>2011.0</c:v>
                </c:pt>
                <c:pt idx="132">
                  <c:v>2011.0</c:v>
                </c:pt>
                <c:pt idx="133">
                  <c:v>2011.0</c:v>
                </c:pt>
                <c:pt idx="134">
                  <c:v>2011.0</c:v>
                </c:pt>
                <c:pt idx="135">
                  <c:v>2011.0</c:v>
                </c:pt>
                <c:pt idx="136">
                  <c:v>2012.0</c:v>
                </c:pt>
                <c:pt idx="137">
                  <c:v>2012.0</c:v>
                </c:pt>
                <c:pt idx="138">
                  <c:v>2012.0</c:v>
                </c:pt>
                <c:pt idx="139">
                  <c:v>2012.0</c:v>
                </c:pt>
                <c:pt idx="140">
                  <c:v>2012.0</c:v>
                </c:pt>
                <c:pt idx="141">
                  <c:v>2012.0</c:v>
                </c:pt>
                <c:pt idx="142">
                  <c:v>2012.0</c:v>
                </c:pt>
                <c:pt idx="143">
                  <c:v>2012.0</c:v>
                </c:pt>
                <c:pt idx="144">
                  <c:v>2012.0</c:v>
                </c:pt>
                <c:pt idx="145">
                  <c:v>2012.0</c:v>
                </c:pt>
                <c:pt idx="146">
                  <c:v>2012.0</c:v>
                </c:pt>
                <c:pt idx="147">
                  <c:v>2012.0</c:v>
                </c:pt>
                <c:pt idx="148">
                  <c:v>2013.0</c:v>
                </c:pt>
                <c:pt idx="149">
                  <c:v>2013.0</c:v>
                </c:pt>
                <c:pt idx="150">
                  <c:v>2013.0</c:v>
                </c:pt>
                <c:pt idx="151">
                  <c:v>2013.0</c:v>
                </c:pt>
                <c:pt idx="152">
                  <c:v>2013.0</c:v>
                </c:pt>
                <c:pt idx="153">
                  <c:v>2013.0</c:v>
                </c:pt>
                <c:pt idx="154">
                  <c:v>2013.0</c:v>
                </c:pt>
                <c:pt idx="155">
                  <c:v>2013.0</c:v>
                </c:pt>
                <c:pt idx="156">
                  <c:v>2013.0</c:v>
                </c:pt>
                <c:pt idx="157">
                  <c:v>2013.0</c:v>
                </c:pt>
                <c:pt idx="158">
                  <c:v>2013.0</c:v>
                </c:pt>
                <c:pt idx="159">
                  <c:v>2013.0</c:v>
                </c:pt>
                <c:pt idx="160">
                  <c:v>2014.0</c:v>
                </c:pt>
                <c:pt idx="161">
                  <c:v>2014.0</c:v>
                </c:pt>
                <c:pt idx="162">
                  <c:v>2014.0</c:v>
                </c:pt>
                <c:pt idx="163">
                  <c:v>2014.0</c:v>
                </c:pt>
                <c:pt idx="164">
                  <c:v>2014.0</c:v>
                </c:pt>
                <c:pt idx="165">
                  <c:v>2014.0</c:v>
                </c:pt>
                <c:pt idx="166">
                  <c:v>2014.0</c:v>
                </c:pt>
                <c:pt idx="167">
                  <c:v>2014.0</c:v>
                </c:pt>
                <c:pt idx="168">
                  <c:v>2014.0</c:v>
                </c:pt>
                <c:pt idx="169">
                  <c:v>2014.0</c:v>
                </c:pt>
                <c:pt idx="170">
                  <c:v>2014.0</c:v>
                </c:pt>
                <c:pt idx="171">
                  <c:v>2014.0</c:v>
                </c:pt>
                <c:pt idx="172">
                  <c:v>2015.0</c:v>
                </c:pt>
                <c:pt idx="173">
                  <c:v>2015.0</c:v>
                </c:pt>
                <c:pt idx="174">
                  <c:v>2015.0</c:v>
                </c:pt>
                <c:pt idx="175">
                  <c:v>2015.0</c:v>
                </c:pt>
                <c:pt idx="176">
                  <c:v>2015.0</c:v>
                </c:pt>
                <c:pt idx="177">
                  <c:v>2015.0</c:v>
                </c:pt>
                <c:pt idx="178">
                  <c:v>2015.0</c:v>
                </c:pt>
                <c:pt idx="179">
                  <c:v>2015.0</c:v>
                </c:pt>
                <c:pt idx="180">
                  <c:v>2015.0</c:v>
                </c:pt>
                <c:pt idx="181">
                  <c:v>2015.0</c:v>
                </c:pt>
                <c:pt idx="182">
                  <c:v>2015.0</c:v>
                </c:pt>
                <c:pt idx="183">
                  <c:v>2015.0</c:v>
                </c:pt>
                <c:pt idx="184">
                  <c:v>2016.0</c:v>
                </c:pt>
                <c:pt idx="185">
                  <c:v>2016.0</c:v>
                </c:pt>
                <c:pt idx="186">
                  <c:v>2016.0</c:v>
                </c:pt>
                <c:pt idx="187">
                  <c:v>2016.0</c:v>
                </c:pt>
                <c:pt idx="188">
                  <c:v>2016.0</c:v>
                </c:pt>
                <c:pt idx="189">
                  <c:v>2016.0</c:v>
                </c:pt>
                <c:pt idx="190">
                  <c:v>2016.0</c:v>
                </c:pt>
                <c:pt idx="191">
                  <c:v>2016.0</c:v>
                </c:pt>
                <c:pt idx="192">
                  <c:v>2016.0</c:v>
                </c:pt>
                <c:pt idx="193">
                  <c:v>2016.0</c:v>
                </c:pt>
                <c:pt idx="194">
                  <c:v>2016.0</c:v>
                </c:pt>
                <c:pt idx="195">
                  <c:v>2016.0</c:v>
                </c:pt>
                <c:pt idx="196">
                  <c:v>2017.0</c:v>
                </c:pt>
                <c:pt idx="197">
                  <c:v>2017.0</c:v>
                </c:pt>
                <c:pt idx="198">
                  <c:v>2017.0</c:v>
                </c:pt>
                <c:pt idx="199">
                  <c:v>2017.0</c:v>
                </c:pt>
                <c:pt idx="200">
                  <c:v>2017.0</c:v>
                </c:pt>
                <c:pt idx="201">
                  <c:v>2017.0</c:v>
                </c:pt>
                <c:pt idx="202">
                  <c:v>2017.0</c:v>
                </c:pt>
                <c:pt idx="203">
                  <c:v>2017.0</c:v>
                </c:pt>
                <c:pt idx="204">
                  <c:v>2017.0</c:v>
                </c:pt>
                <c:pt idx="205">
                  <c:v>2017.0</c:v>
                </c:pt>
                <c:pt idx="206">
                  <c:v>2017.0</c:v>
                </c:pt>
                <c:pt idx="207">
                  <c:v>2017.0</c:v>
                </c:pt>
                <c:pt idx="208">
                  <c:v>2018.0</c:v>
                </c:pt>
                <c:pt idx="209">
                  <c:v>2018.0</c:v>
                </c:pt>
                <c:pt idx="210">
                  <c:v>2018.0</c:v>
                </c:pt>
                <c:pt idx="211">
                  <c:v>2018.0</c:v>
                </c:pt>
                <c:pt idx="212">
                  <c:v>2018.0</c:v>
                </c:pt>
                <c:pt idx="213">
                  <c:v>2018.0</c:v>
                </c:pt>
                <c:pt idx="214">
                  <c:v>2018.0</c:v>
                </c:pt>
                <c:pt idx="215">
                  <c:v>2018.0</c:v>
                </c:pt>
                <c:pt idx="216">
                  <c:v>2018.0</c:v>
                </c:pt>
                <c:pt idx="217">
                  <c:v>2018.0</c:v>
                </c:pt>
                <c:pt idx="218">
                  <c:v>2018.0</c:v>
                </c:pt>
                <c:pt idx="219">
                  <c:v>2018.0</c:v>
                </c:pt>
              </c:numCache>
            </c:numRef>
          </c:cat>
          <c:val>
            <c:numRef>
              <c:f>preteurs_annees!$E$2:$E$221</c:f>
              <c:numCache>
                <c:formatCode>#,##0</c:formatCode>
                <c:ptCount val="220"/>
                <c:pt idx="0">
                  <c:v>4.14243958561089E7</c:v>
                </c:pt>
                <c:pt idx="1">
                  <c:v>8.36269814105819E7</c:v>
                </c:pt>
                <c:pt idx="2">
                  <c:v>1.89677353874396E7</c:v>
                </c:pt>
                <c:pt idx="3">
                  <c:v>5.50813618822396E6</c:v>
                </c:pt>
                <c:pt idx="4">
                  <c:v>3.08749299618667E6</c:v>
                </c:pt>
                <c:pt idx="5">
                  <c:v>4.34625540933466E6</c:v>
                </c:pt>
                <c:pt idx="6">
                  <c:v>4.10347682955278E6</c:v>
                </c:pt>
                <c:pt idx="7">
                  <c:v>7.37773884703525E6</c:v>
                </c:pt>
                <c:pt idx="8">
                  <c:v>6.98252702189654E6</c:v>
                </c:pt>
                <c:pt idx="9">
                  <c:v>3.01178671570175E6</c:v>
                </c:pt>
                <c:pt idx="10">
                  <c:v>7.44811750122359E6</c:v>
                </c:pt>
                <c:pt idx="11">
                  <c:v>3.81381614056113E7</c:v>
                </c:pt>
                <c:pt idx="12">
                  <c:v>8.5407800175953E7</c:v>
                </c:pt>
                <c:pt idx="13">
                  <c:v>1.67969346259932E7</c:v>
                </c:pt>
                <c:pt idx="14">
                  <c:v>5.18434187787887E6</c:v>
                </c:pt>
                <c:pt idx="15">
                  <c:v>2.72345981822257E6</c:v>
                </c:pt>
                <c:pt idx="16">
                  <c:v>3.94019165763269E6</c:v>
                </c:pt>
                <c:pt idx="17">
                  <c:v>3.74394802068134E6</c:v>
                </c:pt>
                <c:pt idx="18">
                  <c:v>4.61228590836112E6</c:v>
                </c:pt>
                <c:pt idx="19">
                  <c:v>6.31877053991953E6</c:v>
                </c:pt>
                <c:pt idx="20">
                  <c:v>2.80876913412527E6</c:v>
                </c:pt>
                <c:pt idx="21">
                  <c:v>2.37506870705047E6</c:v>
                </c:pt>
                <c:pt idx="22">
                  <c:v>6.80239747841374E6</c:v>
                </c:pt>
                <c:pt idx="23">
                  <c:v>4.776318233E7</c:v>
                </c:pt>
                <c:pt idx="24">
                  <c:v>8.467057064E7</c:v>
                </c:pt>
                <c:pt idx="25">
                  <c:v>1.447290954E7</c:v>
                </c:pt>
                <c:pt idx="26">
                  <c:v>4.88995218E6</c:v>
                </c:pt>
                <c:pt idx="27">
                  <c:v>2.33599076E6</c:v>
                </c:pt>
                <c:pt idx="28">
                  <c:v>3.4990041E6</c:v>
                </c:pt>
                <c:pt idx="29">
                  <c:v>3.34760589E6</c:v>
                </c:pt>
                <c:pt idx="30">
                  <c:v>0.0</c:v>
                </c:pt>
                <c:pt idx="31">
                  <c:v>0.0</c:v>
                </c:pt>
                <c:pt idx="32">
                  <c:v>2.58810044E6</c:v>
                </c:pt>
                <c:pt idx="33">
                  <c:v>1.309711284E7</c:v>
                </c:pt>
                <c:pt idx="34">
                  <c:v>6.15573887E6</c:v>
                </c:pt>
                <c:pt idx="35">
                  <c:v>4.46957264E7</c:v>
                </c:pt>
                <c:pt idx="36">
                  <c:v>8.708384193E7</c:v>
                </c:pt>
                <c:pt idx="37">
                  <c:v>1.49067827E7</c:v>
                </c:pt>
                <c:pt idx="38">
                  <c:v>5.10010621E6</c:v>
                </c:pt>
                <c:pt idx="39">
                  <c:v>1.92439767E6</c:v>
                </c:pt>
                <c:pt idx="40">
                  <c:v>2.10644729E6</c:v>
                </c:pt>
                <c:pt idx="41">
                  <c:v>2.22799954E6</c:v>
                </c:pt>
                <c:pt idx="42">
                  <c:v>0.0</c:v>
                </c:pt>
                <c:pt idx="43">
                  <c:v>2.3491395E6</c:v>
                </c:pt>
                <c:pt idx="44">
                  <c:v>1.241835406E7</c:v>
                </c:pt>
                <c:pt idx="45">
                  <c:v>5.51011728E6</c:v>
                </c:pt>
                <c:pt idx="46">
                  <c:v>4.087624264E7</c:v>
                </c:pt>
                <c:pt idx="47">
                  <c:v>1.0239996491E8</c:v>
                </c:pt>
                <c:pt idx="48">
                  <c:v>1.75615277E7</c:v>
                </c:pt>
                <c:pt idx="49">
                  <c:v>1.84776435E6</c:v>
                </c:pt>
                <c:pt idx="50">
                  <c:v>1.48670958E6</c:v>
                </c:pt>
                <c:pt idx="51">
                  <c:v>1.3045059E6</c:v>
                </c:pt>
                <c:pt idx="52">
                  <c:v>1.86101935E6</c:v>
                </c:pt>
                <c:pt idx="53">
                  <c:v>0.0</c:v>
                </c:pt>
                <c:pt idx="54">
                  <c:v>2.08986686E6</c:v>
                </c:pt>
                <c:pt idx="55">
                  <c:v>1.171583872E7</c:v>
                </c:pt>
                <c:pt idx="56">
                  <c:v>796546.12</c:v>
                </c:pt>
                <c:pt idx="57">
                  <c:v>2.002179751E7</c:v>
                </c:pt>
                <c:pt idx="58">
                  <c:v>1.2381378771E8</c:v>
                </c:pt>
                <c:pt idx="59">
                  <c:v>1.570489297E7</c:v>
                </c:pt>
                <c:pt idx="60">
                  <c:v>3.50980631E6</c:v>
                </c:pt>
                <c:pt idx="61">
                  <c:v>1.02127207E6</c:v>
                </c:pt>
                <c:pt idx="62">
                  <c:v>0.0</c:v>
                </c:pt>
                <c:pt idx="63">
                  <c:v>1.46643123E6</c:v>
                </c:pt>
                <c:pt idx="64">
                  <c:v>0.0</c:v>
                </c:pt>
                <c:pt idx="65">
                  <c:v>0.0</c:v>
                </c:pt>
                <c:pt idx="66">
                  <c:v>1.098873534E7</c:v>
                </c:pt>
                <c:pt idx="67">
                  <c:v>663153.23</c:v>
                </c:pt>
                <c:pt idx="68">
                  <c:v>1.03060806E7</c:v>
                </c:pt>
                <c:pt idx="69">
                  <c:v>1.3809358064E8</c:v>
                </c:pt>
                <c:pt idx="70">
                  <c:v>2.348117057E7</c:v>
                </c:pt>
                <c:pt idx="71">
                  <c:v>3.00784702E6</c:v>
                </c:pt>
                <c:pt idx="72">
                  <c:v>8.52632582E6</c:v>
                </c:pt>
                <c:pt idx="73">
                  <c:v>0.0</c:v>
                </c:pt>
                <c:pt idx="74">
                  <c:v>1.04199174E6</c:v>
                </c:pt>
                <c:pt idx="75">
                  <c:v>0.0</c:v>
                </c:pt>
                <c:pt idx="76">
                  <c:v>0.0</c:v>
                </c:pt>
                <c:pt idx="77">
                  <c:v>1.523618335E7</c:v>
                </c:pt>
                <c:pt idx="78">
                  <c:v>529760.34</c:v>
                </c:pt>
                <c:pt idx="79">
                  <c:v>4.37672734E6</c:v>
                </c:pt>
                <c:pt idx="80">
                  <c:v>1.4486658328E8</c:v>
                </c:pt>
                <c:pt idx="81">
                  <c:v>2.709164972E7</c:v>
                </c:pt>
                <c:pt idx="82">
                  <c:v>2.4917389E6</c:v>
                </c:pt>
                <c:pt idx="83">
                  <c:v>9.89925475E6</c:v>
                </c:pt>
                <c:pt idx="84">
                  <c:v>0.0</c:v>
                </c:pt>
                <c:pt idx="85">
                  <c:v>585267.08</c:v>
                </c:pt>
                <c:pt idx="86">
                  <c:v>0.0</c:v>
                </c:pt>
                <c:pt idx="87">
                  <c:v>0.0</c:v>
                </c:pt>
                <c:pt idx="88">
                  <c:v>1.920045354E7</c:v>
                </c:pt>
                <c:pt idx="89">
                  <c:v>396367.45</c:v>
                </c:pt>
                <c:pt idx="90">
                  <c:v>3.84710196E6</c:v>
                </c:pt>
                <c:pt idx="91">
                  <c:v>1.5222940127E8</c:v>
                </c:pt>
                <c:pt idx="92">
                  <c:v>2.56782572E7</c:v>
                </c:pt>
                <c:pt idx="93">
                  <c:v>1.96103937E6</c:v>
                </c:pt>
                <c:pt idx="94">
                  <c:v>1.355940744E7</c:v>
                </c:pt>
                <c:pt idx="95">
                  <c:v>0.0</c:v>
                </c:pt>
                <c:pt idx="96">
                  <c:v>93616.59</c:v>
                </c:pt>
                <c:pt idx="97">
                  <c:v>0.0</c:v>
                </c:pt>
                <c:pt idx="98">
                  <c:v>0.0</c:v>
                </c:pt>
                <c:pt idx="99">
                  <c:v>1.800764076E7</c:v>
                </c:pt>
                <c:pt idx="100">
                  <c:v>262974.56</c:v>
                </c:pt>
                <c:pt idx="101">
                  <c:v>3.31291028E6</c:v>
                </c:pt>
                <c:pt idx="102">
                  <c:v>1.5077950541E8</c:v>
                </c:pt>
                <c:pt idx="103">
                  <c:v>2.404390909E7</c:v>
                </c:pt>
                <c:pt idx="104">
                  <c:v>1.41529196E6</c:v>
                </c:pt>
                <c:pt idx="105">
                  <c:v>1.30749862E7</c:v>
                </c:pt>
                <c:pt idx="106">
                  <c:v>0.0</c:v>
                </c:pt>
                <c:pt idx="107">
                  <c:v>0.0</c:v>
                </c:pt>
                <c:pt idx="108">
                  <c:v>0.0</c:v>
                </c:pt>
                <c:pt idx="109">
                  <c:v>0.0</c:v>
                </c:pt>
                <c:pt idx="110">
                  <c:v>1.673067022E7</c:v>
                </c:pt>
                <c:pt idx="111">
                  <c:v>129581.67</c:v>
                </c:pt>
                <c:pt idx="112">
                  <c:v>2.77995962E6</c:v>
                </c:pt>
                <c:pt idx="113">
                  <c:v>1.470319069E8</c:v>
                </c:pt>
                <c:pt idx="114">
                  <c:v>2.235731444E7</c:v>
                </c:pt>
                <c:pt idx="115">
                  <c:v>854025.76</c:v>
                </c:pt>
                <c:pt idx="116">
                  <c:v>1.256987832E7</c:v>
                </c:pt>
                <c:pt idx="117">
                  <c:v>0.0</c:v>
                </c:pt>
                <c:pt idx="118">
                  <c:v>0.0</c:v>
                </c:pt>
                <c:pt idx="119">
                  <c:v>0.0</c:v>
                </c:pt>
                <c:pt idx="120">
                  <c:v>0.0</c:v>
                </c:pt>
                <c:pt idx="121">
                  <c:v>1.540722365E7</c:v>
                </c:pt>
                <c:pt idx="122">
                  <c:v>0.0</c:v>
                </c:pt>
                <c:pt idx="123">
                  <c:v>1.0E7</c:v>
                </c:pt>
                <c:pt idx="124">
                  <c:v>2.22668984E6</c:v>
                </c:pt>
                <c:pt idx="125">
                  <c:v>1.4034062463E8</c:v>
                </c:pt>
                <c:pt idx="126">
                  <c:v>2.581702112E7</c:v>
                </c:pt>
                <c:pt idx="127">
                  <c:v>671323.4</c:v>
                </c:pt>
                <c:pt idx="128">
                  <c:v>1.999295238E7</c:v>
                </c:pt>
                <c:pt idx="129">
                  <c:v>0.0</c:v>
                </c:pt>
                <c:pt idx="130">
                  <c:v>0.0</c:v>
                </c:pt>
                <c:pt idx="131">
                  <c:v>0.0</c:v>
                </c:pt>
                <c:pt idx="132">
                  <c:v>0.0</c:v>
                </c:pt>
                <c:pt idx="133">
                  <c:v>1.403559896E7</c:v>
                </c:pt>
                <c:pt idx="134">
                  <c:v>0.0</c:v>
                </c:pt>
                <c:pt idx="135">
                  <c:v>9.56544485E6</c:v>
                </c:pt>
                <c:pt idx="136">
                  <c:v>7.811474E6</c:v>
                </c:pt>
                <c:pt idx="137">
                  <c:v>1.5280010748E8</c:v>
                </c:pt>
                <c:pt idx="138">
                  <c:v>5.556954752E7</c:v>
                </c:pt>
                <c:pt idx="139">
                  <c:v>482914.0</c:v>
                </c:pt>
                <c:pt idx="140">
                  <c:v>1.9293427E7</c:v>
                </c:pt>
                <c:pt idx="141">
                  <c:v>0.0</c:v>
                </c:pt>
                <c:pt idx="142">
                  <c:v>0.0</c:v>
                </c:pt>
                <c:pt idx="143">
                  <c:v>0.0</c:v>
                </c:pt>
                <c:pt idx="144">
                  <c:v>0.0</c:v>
                </c:pt>
                <c:pt idx="145">
                  <c:v>1.2614032E7</c:v>
                </c:pt>
                <c:pt idx="146">
                  <c:v>0.0</c:v>
                </c:pt>
                <c:pt idx="147">
                  <c:v>9.124585E6</c:v>
                </c:pt>
                <c:pt idx="148">
                  <c:v>6.822028E6</c:v>
                </c:pt>
                <c:pt idx="149">
                  <c:v>1.52649733E8</c:v>
                </c:pt>
                <c:pt idx="150">
                  <c:v>7.3570756E7</c:v>
                </c:pt>
                <c:pt idx="151">
                  <c:v>290449.0</c:v>
                </c:pt>
                <c:pt idx="152">
                  <c:v>1.8558323E7</c:v>
                </c:pt>
                <c:pt idx="153">
                  <c:v>0.0</c:v>
                </c:pt>
                <c:pt idx="154">
                  <c:v>0.0</c:v>
                </c:pt>
                <c:pt idx="155">
                  <c:v>0.0</c:v>
                </c:pt>
                <c:pt idx="156">
                  <c:v>0.0</c:v>
                </c:pt>
                <c:pt idx="157">
                  <c:v>1.114069E7</c:v>
                </c:pt>
                <c:pt idx="158">
                  <c:v>0.0</c:v>
                </c:pt>
                <c:pt idx="159">
                  <c:v>8.677329E6</c:v>
                </c:pt>
                <c:pt idx="160">
                  <c:v>6.292187E6</c:v>
                </c:pt>
                <c:pt idx="161">
                  <c:v>1.82554484E8</c:v>
                </c:pt>
                <c:pt idx="162">
                  <c:v>8.0573199E7</c:v>
                </c:pt>
                <c:pt idx="163">
                  <c:v>93815.0</c:v>
                </c:pt>
                <c:pt idx="164">
                  <c:v>1.7785832E7</c:v>
                </c:pt>
                <c:pt idx="165">
                  <c:v>0.0</c:v>
                </c:pt>
                <c:pt idx="166">
                  <c:v>0.0</c:v>
                </c:pt>
                <c:pt idx="167">
                  <c:v>0.0</c:v>
                </c:pt>
                <c:pt idx="168">
                  <c:v>0.0</c:v>
                </c:pt>
                <c:pt idx="169">
                  <c:v>9.613679E6</c:v>
                </c:pt>
                <c:pt idx="170">
                  <c:v>0.0</c:v>
                </c:pt>
                <c:pt idx="171">
                  <c:v>8.223584E6</c:v>
                </c:pt>
                <c:pt idx="172">
                  <c:v>5.758317E6</c:v>
                </c:pt>
                <c:pt idx="173">
                  <c:v>1.9211368E8</c:v>
                </c:pt>
                <c:pt idx="174">
                  <c:v>7.6476445E7</c:v>
                </c:pt>
                <c:pt idx="175">
                  <c:v>46907.0</c:v>
                </c:pt>
                <c:pt idx="176">
                  <c:v>2.1849051E7</c:v>
                </c:pt>
                <c:pt idx="177">
                  <c:v>5.0E6</c:v>
                </c:pt>
                <c:pt idx="178">
                  <c:v>0.0</c:v>
                </c:pt>
                <c:pt idx="179">
                  <c:v>0.0</c:v>
                </c:pt>
                <c:pt idx="180">
                  <c:v>0.0</c:v>
                </c:pt>
                <c:pt idx="181">
                  <c:v>8.03103E6</c:v>
                </c:pt>
                <c:pt idx="182">
                  <c:v>0.0</c:v>
                </c:pt>
                <c:pt idx="183">
                  <c:v>7.763256E6</c:v>
                </c:pt>
                <c:pt idx="184">
                  <c:v>5.295002E6</c:v>
                </c:pt>
                <c:pt idx="185">
                  <c:v>2.07852696E8</c:v>
                </c:pt>
                <c:pt idx="186">
                  <c:v>7.2276249E7</c:v>
                </c:pt>
                <c:pt idx="187">
                  <c:v>0.0</c:v>
                </c:pt>
                <c:pt idx="188">
                  <c:v>2.0745983E7</c:v>
                </c:pt>
                <c:pt idx="189">
                  <c:v>4.666667E6</c:v>
                </c:pt>
                <c:pt idx="190">
                  <c:v>0.0</c:v>
                </c:pt>
                <c:pt idx="191">
                  <c:v>0.0</c:v>
                </c:pt>
                <c:pt idx="192">
                  <c:v>0.0</c:v>
                </c:pt>
                <c:pt idx="193">
                  <c:v>6.390794E6</c:v>
                </c:pt>
                <c:pt idx="194">
                  <c:v>0.0</c:v>
                </c:pt>
                <c:pt idx="195">
                  <c:v>9.70435E6</c:v>
                </c:pt>
                <c:pt idx="196">
                  <c:v>4.854039E6</c:v>
                </c:pt>
                <c:pt idx="197">
                  <c:v>2.21741019E8</c:v>
                </c:pt>
                <c:pt idx="198">
                  <c:v>6.7968238E7</c:v>
                </c:pt>
                <c:pt idx="199">
                  <c:v>0.0</c:v>
                </c:pt>
                <c:pt idx="200">
                  <c:v>1.9599525E7</c:v>
                </c:pt>
                <c:pt idx="201">
                  <c:v>4.333333E6</c:v>
                </c:pt>
                <c:pt idx="202">
                  <c:v>0.0</c:v>
                </c:pt>
                <c:pt idx="203">
                  <c:v>0.0</c:v>
                </c:pt>
                <c:pt idx="204">
                  <c:v>0.0</c:v>
                </c:pt>
                <c:pt idx="205">
                  <c:v>4.690584E6</c:v>
                </c:pt>
                <c:pt idx="206">
                  <c:v>0.0</c:v>
                </c:pt>
                <c:pt idx="207">
                  <c:v>9.301876E6</c:v>
                </c:pt>
                <c:pt idx="208">
                  <c:v>4.412165E6</c:v>
                </c:pt>
                <c:pt idx="209">
                  <c:v>2.14636548E8</c:v>
                </c:pt>
                <c:pt idx="210">
                  <c:v>6.3547445E7</c:v>
                </c:pt>
                <c:pt idx="211">
                  <c:v>0.0</c:v>
                </c:pt>
                <c:pt idx="212">
                  <c:v>1.8407472E7</c:v>
                </c:pt>
                <c:pt idx="213">
                  <c:v>4.0E6</c:v>
                </c:pt>
                <c:pt idx="214">
                  <c:v>0.0</c:v>
                </c:pt>
                <c:pt idx="215">
                  <c:v>0.0</c:v>
                </c:pt>
                <c:pt idx="216">
                  <c:v>0.0</c:v>
                </c:pt>
                <c:pt idx="217">
                  <c:v>4.06563351E6</c:v>
                </c:pt>
                <c:pt idx="218">
                  <c:v>0.0</c:v>
                </c:pt>
                <c:pt idx="219">
                  <c:v>8.889737E6</c:v>
                </c:pt>
              </c:numCache>
            </c:numRef>
          </c:val>
          <c:smooth val="0"/>
        </c:ser>
        <c:ser>
          <c:idx val="1"/>
          <c:order val="1"/>
          <c:tx>
            <c:strRef>
              <c:f>preteurs_annees!$O$1</c:f>
              <c:strCache>
                <c:ptCount val="1"/>
                <c:pt idx="0">
                  <c:v>Encours_fin_par_emprunts</c:v>
                </c:pt>
              </c:strCache>
            </c:strRef>
          </c:tx>
          <c:spPr>
            <a:ln w="25400"/>
          </c:spPr>
          <c:cat>
            <c:numRef>
              <c:f>preteurs_annees!$A$2:$A$221</c:f>
              <c:numCache>
                <c:formatCode>General</c:formatCode>
                <c:ptCount val="220"/>
                <c:pt idx="0">
                  <c:v>2000.0</c:v>
                </c:pt>
                <c:pt idx="1">
                  <c:v>2000.0</c:v>
                </c:pt>
                <c:pt idx="2">
                  <c:v>2000.0</c:v>
                </c:pt>
                <c:pt idx="3">
                  <c:v>2000.0</c:v>
                </c:pt>
                <c:pt idx="4">
                  <c:v>2000.0</c:v>
                </c:pt>
                <c:pt idx="5">
                  <c:v>2000.0</c:v>
                </c:pt>
                <c:pt idx="6">
                  <c:v>2000.0</c:v>
                </c:pt>
                <c:pt idx="7">
                  <c:v>2000.0</c:v>
                </c:pt>
                <c:pt idx="8">
                  <c:v>2000.0</c:v>
                </c:pt>
                <c:pt idx="9">
                  <c:v>2000.0</c:v>
                </c:pt>
                <c:pt idx="10">
                  <c:v>2000.0</c:v>
                </c:pt>
                <c:pt idx="11">
                  <c:v>2001.0</c:v>
                </c:pt>
                <c:pt idx="12">
                  <c:v>2001.0</c:v>
                </c:pt>
                <c:pt idx="13">
                  <c:v>2001.0</c:v>
                </c:pt>
                <c:pt idx="14">
                  <c:v>2001.0</c:v>
                </c:pt>
                <c:pt idx="15">
                  <c:v>2001.0</c:v>
                </c:pt>
                <c:pt idx="16">
                  <c:v>2001.0</c:v>
                </c:pt>
                <c:pt idx="17">
                  <c:v>2001.0</c:v>
                </c:pt>
                <c:pt idx="18">
                  <c:v>2001.0</c:v>
                </c:pt>
                <c:pt idx="19">
                  <c:v>2001.0</c:v>
                </c:pt>
                <c:pt idx="20">
                  <c:v>2001.0</c:v>
                </c:pt>
                <c:pt idx="21">
                  <c:v>2001.0</c:v>
                </c:pt>
                <c:pt idx="22">
                  <c:v>2001.0</c:v>
                </c:pt>
                <c:pt idx="23">
                  <c:v>2002.0</c:v>
                </c:pt>
                <c:pt idx="24">
                  <c:v>2002.0</c:v>
                </c:pt>
                <c:pt idx="25">
                  <c:v>2002.0</c:v>
                </c:pt>
                <c:pt idx="26">
                  <c:v>2002.0</c:v>
                </c:pt>
                <c:pt idx="27">
                  <c:v>2002.0</c:v>
                </c:pt>
                <c:pt idx="28">
                  <c:v>2002.0</c:v>
                </c:pt>
                <c:pt idx="29">
                  <c:v>2002.0</c:v>
                </c:pt>
                <c:pt idx="30">
                  <c:v>2002.0</c:v>
                </c:pt>
                <c:pt idx="31">
                  <c:v>2002.0</c:v>
                </c:pt>
                <c:pt idx="32">
                  <c:v>2002.0</c:v>
                </c:pt>
                <c:pt idx="33">
                  <c:v>2002.0</c:v>
                </c:pt>
                <c:pt idx="34">
                  <c:v>2002.0</c:v>
                </c:pt>
                <c:pt idx="35">
                  <c:v>2003.0</c:v>
                </c:pt>
                <c:pt idx="36">
                  <c:v>2003.0</c:v>
                </c:pt>
                <c:pt idx="37">
                  <c:v>2003.0</c:v>
                </c:pt>
                <c:pt idx="38">
                  <c:v>2003.0</c:v>
                </c:pt>
                <c:pt idx="39">
                  <c:v>2003.0</c:v>
                </c:pt>
                <c:pt idx="40">
                  <c:v>2003.0</c:v>
                </c:pt>
                <c:pt idx="41">
                  <c:v>2003.0</c:v>
                </c:pt>
                <c:pt idx="42">
                  <c:v>2003.0</c:v>
                </c:pt>
                <c:pt idx="43">
                  <c:v>2003.0</c:v>
                </c:pt>
                <c:pt idx="44">
                  <c:v>2003.0</c:v>
                </c:pt>
                <c:pt idx="45">
                  <c:v>2003.0</c:v>
                </c:pt>
                <c:pt idx="46">
                  <c:v>2004.0</c:v>
                </c:pt>
                <c:pt idx="47">
                  <c:v>2004.0</c:v>
                </c:pt>
                <c:pt idx="48">
                  <c:v>2004.0</c:v>
                </c:pt>
                <c:pt idx="49">
                  <c:v>2004.0</c:v>
                </c:pt>
                <c:pt idx="50">
                  <c:v>2004.0</c:v>
                </c:pt>
                <c:pt idx="51">
                  <c:v>2004.0</c:v>
                </c:pt>
                <c:pt idx="52">
                  <c:v>2004.0</c:v>
                </c:pt>
                <c:pt idx="53">
                  <c:v>2004.0</c:v>
                </c:pt>
                <c:pt idx="54">
                  <c:v>2004.0</c:v>
                </c:pt>
                <c:pt idx="55">
                  <c:v>2004.0</c:v>
                </c:pt>
                <c:pt idx="56">
                  <c:v>2004.0</c:v>
                </c:pt>
                <c:pt idx="57">
                  <c:v>2005.0</c:v>
                </c:pt>
                <c:pt idx="58">
                  <c:v>2005.0</c:v>
                </c:pt>
                <c:pt idx="59">
                  <c:v>2005.0</c:v>
                </c:pt>
                <c:pt idx="60">
                  <c:v>2005.0</c:v>
                </c:pt>
                <c:pt idx="61">
                  <c:v>2005.0</c:v>
                </c:pt>
                <c:pt idx="62">
                  <c:v>2005.0</c:v>
                </c:pt>
                <c:pt idx="63">
                  <c:v>2005.0</c:v>
                </c:pt>
                <c:pt idx="64">
                  <c:v>2005.0</c:v>
                </c:pt>
                <c:pt idx="65">
                  <c:v>2005.0</c:v>
                </c:pt>
                <c:pt idx="66">
                  <c:v>2005.0</c:v>
                </c:pt>
                <c:pt idx="67">
                  <c:v>2005.0</c:v>
                </c:pt>
                <c:pt idx="68">
                  <c:v>2006.0</c:v>
                </c:pt>
                <c:pt idx="69">
                  <c:v>2006.0</c:v>
                </c:pt>
                <c:pt idx="70">
                  <c:v>2006.0</c:v>
                </c:pt>
                <c:pt idx="71">
                  <c:v>2006.0</c:v>
                </c:pt>
                <c:pt idx="72">
                  <c:v>2006.0</c:v>
                </c:pt>
                <c:pt idx="73">
                  <c:v>2006.0</c:v>
                </c:pt>
                <c:pt idx="74">
                  <c:v>2006.0</c:v>
                </c:pt>
                <c:pt idx="75">
                  <c:v>2006.0</c:v>
                </c:pt>
                <c:pt idx="76">
                  <c:v>2006.0</c:v>
                </c:pt>
                <c:pt idx="77">
                  <c:v>2006.0</c:v>
                </c:pt>
                <c:pt idx="78">
                  <c:v>2006.0</c:v>
                </c:pt>
                <c:pt idx="79">
                  <c:v>2007.0</c:v>
                </c:pt>
                <c:pt idx="80">
                  <c:v>2007.0</c:v>
                </c:pt>
                <c:pt idx="81">
                  <c:v>2007.0</c:v>
                </c:pt>
                <c:pt idx="82">
                  <c:v>2007.0</c:v>
                </c:pt>
                <c:pt idx="83">
                  <c:v>2007.0</c:v>
                </c:pt>
                <c:pt idx="84">
                  <c:v>2007.0</c:v>
                </c:pt>
                <c:pt idx="85">
                  <c:v>2007.0</c:v>
                </c:pt>
                <c:pt idx="86">
                  <c:v>2007.0</c:v>
                </c:pt>
                <c:pt idx="87">
                  <c:v>2007.0</c:v>
                </c:pt>
                <c:pt idx="88">
                  <c:v>2007.0</c:v>
                </c:pt>
                <c:pt idx="89">
                  <c:v>2007.0</c:v>
                </c:pt>
                <c:pt idx="90">
                  <c:v>2008.0</c:v>
                </c:pt>
                <c:pt idx="91">
                  <c:v>2008.0</c:v>
                </c:pt>
                <c:pt idx="92">
                  <c:v>2008.0</c:v>
                </c:pt>
                <c:pt idx="93">
                  <c:v>2008.0</c:v>
                </c:pt>
                <c:pt idx="94">
                  <c:v>2008.0</c:v>
                </c:pt>
                <c:pt idx="95">
                  <c:v>2008.0</c:v>
                </c:pt>
                <c:pt idx="96">
                  <c:v>2008.0</c:v>
                </c:pt>
                <c:pt idx="97">
                  <c:v>2008.0</c:v>
                </c:pt>
                <c:pt idx="98">
                  <c:v>2008.0</c:v>
                </c:pt>
                <c:pt idx="99">
                  <c:v>2008.0</c:v>
                </c:pt>
                <c:pt idx="100">
                  <c:v>2008.0</c:v>
                </c:pt>
                <c:pt idx="101">
                  <c:v>2009.0</c:v>
                </c:pt>
                <c:pt idx="102">
                  <c:v>2009.0</c:v>
                </c:pt>
                <c:pt idx="103">
                  <c:v>2009.0</c:v>
                </c:pt>
                <c:pt idx="104">
                  <c:v>2009.0</c:v>
                </c:pt>
                <c:pt idx="105">
                  <c:v>2009.0</c:v>
                </c:pt>
                <c:pt idx="106">
                  <c:v>2009.0</c:v>
                </c:pt>
                <c:pt idx="107">
                  <c:v>2009.0</c:v>
                </c:pt>
                <c:pt idx="108">
                  <c:v>2009.0</c:v>
                </c:pt>
                <c:pt idx="109">
                  <c:v>2009.0</c:v>
                </c:pt>
                <c:pt idx="110">
                  <c:v>2009.0</c:v>
                </c:pt>
                <c:pt idx="111">
                  <c:v>2009.0</c:v>
                </c:pt>
                <c:pt idx="112">
                  <c:v>2010.0</c:v>
                </c:pt>
                <c:pt idx="113">
                  <c:v>2010.0</c:v>
                </c:pt>
                <c:pt idx="114">
                  <c:v>2010.0</c:v>
                </c:pt>
                <c:pt idx="115">
                  <c:v>2010.0</c:v>
                </c:pt>
                <c:pt idx="116">
                  <c:v>2010.0</c:v>
                </c:pt>
                <c:pt idx="117">
                  <c:v>2010.0</c:v>
                </c:pt>
                <c:pt idx="118">
                  <c:v>2010.0</c:v>
                </c:pt>
                <c:pt idx="119">
                  <c:v>2010.0</c:v>
                </c:pt>
                <c:pt idx="120">
                  <c:v>2010.0</c:v>
                </c:pt>
                <c:pt idx="121">
                  <c:v>2010.0</c:v>
                </c:pt>
                <c:pt idx="122">
                  <c:v>2010.0</c:v>
                </c:pt>
                <c:pt idx="123">
                  <c:v>2010.0</c:v>
                </c:pt>
                <c:pt idx="124">
                  <c:v>2011.0</c:v>
                </c:pt>
                <c:pt idx="125">
                  <c:v>2011.0</c:v>
                </c:pt>
                <c:pt idx="126">
                  <c:v>2011.0</c:v>
                </c:pt>
                <c:pt idx="127">
                  <c:v>2011.0</c:v>
                </c:pt>
                <c:pt idx="128">
                  <c:v>2011.0</c:v>
                </c:pt>
                <c:pt idx="129">
                  <c:v>2011.0</c:v>
                </c:pt>
                <c:pt idx="130">
                  <c:v>2011.0</c:v>
                </c:pt>
                <c:pt idx="131">
                  <c:v>2011.0</c:v>
                </c:pt>
                <c:pt idx="132">
                  <c:v>2011.0</c:v>
                </c:pt>
                <c:pt idx="133">
                  <c:v>2011.0</c:v>
                </c:pt>
                <c:pt idx="134">
                  <c:v>2011.0</c:v>
                </c:pt>
                <c:pt idx="135">
                  <c:v>2011.0</c:v>
                </c:pt>
                <c:pt idx="136">
                  <c:v>2012.0</c:v>
                </c:pt>
                <c:pt idx="137">
                  <c:v>2012.0</c:v>
                </c:pt>
                <c:pt idx="138">
                  <c:v>2012.0</c:v>
                </c:pt>
                <c:pt idx="139">
                  <c:v>2012.0</c:v>
                </c:pt>
                <c:pt idx="140">
                  <c:v>2012.0</c:v>
                </c:pt>
                <c:pt idx="141">
                  <c:v>2012.0</c:v>
                </c:pt>
                <c:pt idx="142">
                  <c:v>2012.0</c:v>
                </c:pt>
                <c:pt idx="143">
                  <c:v>2012.0</c:v>
                </c:pt>
                <c:pt idx="144">
                  <c:v>2012.0</c:v>
                </c:pt>
                <c:pt idx="145">
                  <c:v>2012.0</c:v>
                </c:pt>
                <c:pt idx="146">
                  <c:v>2012.0</c:v>
                </c:pt>
                <c:pt idx="147">
                  <c:v>2012.0</c:v>
                </c:pt>
                <c:pt idx="148">
                  <c:v>2013.0</c:v>
                </c:pt>
                <c:pt idx="149">
                  <c:v>2013.0</c:v>
                </c:pt>
                <c:pt idx="150">
                  <c:v>2013.0</c:v>
                </c:pt>
                <c:pt idx="151">
                  <c:v>2013.0</c:v>
                </c:pt>
                <c:pt idx="152">
                  <c:v>2013.0</c:v>
                </c:pt>
                <c:pt idx="153">
                  <c:v>2013.0</c:v>
                </c:pt>
                <c:pt idx="154">
                  <c:v>2013.0</c:v>
                </c:pt>
                <c:pt idx="155">
                  <c:v>2013.0</c:v>
                </c:pt>
                <c:pt idx="156">
                  <c:v>2013.0</c:v>
                </c:pt>
                <c:pt idx="157">
                  <c:v>2013.0</c:v>
                </c:pt>
                <c:pt idx="158">
                  <c:v>2013.0</c:v>
                </c:pt>
                <c:pt idx="159">
                  <c:v>2013.0</c:v>
                </c:pt>
                <c:pt idx="160">
                  <c:v>2014.0</c:v>
                </c:pt>
                <c:pt idx="161">
                  <c:v>2014.0</c:v>
                </c:pt>
                <c:pt idx="162">
                  <c:v>2014.0</c:v>
                </c:pt>
                <c:pt idx="163">
                  <c:v>2014.0</c:v>
                </c:pt>
                <c:pt idx="164">
                  <c:v>2014.0</c:v>
                </c:pt>
                <c:pt idx="165">
                  <c:v>2014.0</c:v>
                </c:pt>
                <c:pt idx="166">
                  <c:v>2014.0</c:v>
                </c:pt>
                <c:pt idx="167">
                  <c:v>2014.0</c:v>
                </c:pt>
                <c:pt idx="168">
                  <c:v>2014.0</c:v>
                </c:pt>
                <c:pt idx="169">
                  <c:v>2014.0</c:v>
                </c:pt>
                <c:pt idx="170">
                  <c:v>2014.0</c:v>
                </c:pt>
                <c:pt idx="171">
                  <c:v>2014.0</c:v>
                </c:pt>
                <c:pt idx="172">
                  <c:v>2015.0</c:v>
                </c:pt>
                <c:pt idx="173">
                  <c:v>2015.0</c:v>
                </c:pt>
                <c:pt idx="174">
                  <c:v>2015.0</c:v>
                </c:pt>
                <c:pt idx="175">
                  <c:v>2015.0</c:v>
                </c:pt>
                <c:pt idx="176">
                  <c:v>2015.0</c:v>
                </c:pt>
                <c:pt idx="177">
                  <c:v>2015.0</c:v>
                </c:pt>
                <c:pt idx="178">
                  <c:v>2015.0</c:v>
                </c:pt>
                <c:pt idx="179">
                  <c:v>2015.0</c:v>
                </c:pt>
                <c:pt idx="180">
                  <c:v>2015.0</c:v>
                </c:pt>
                <c:pt idx="181">
                  <c:v>2015.0</c:v>
                </c:pt>
                <c:pt idx="182">
                  <c:v>2015.0</c:v>
                </c:pt>
                <c:pt idx="183">
                  <c:v>2015.0</c:v>
                </c:pt>
                <c:pt idx="184">
                  <c:v>2016.0</c:v>
                </c:pt>
                <c:pt idx="185">
                  <c:v>2016.0</c:v>
                </c:pt>
                <c:pt idx="186">
                  <c:v>2016.0</c:v>
                </c:pt>
                <c:pt idx="187">
                  <c:v>2016.0</c:v>
                </c:pt>
                <c:pt idx="188">
                  <c:v>2016.0</c:v>
                </c:pt>
                <c:pt idx="189">
                  <c:v>2016.0</c:v>
                </c:pt>
                <c:pt idx="190">
                  <c:v>2016.0</c:v>
                </c:pt>
                <c:pt idx="191">
                  <c:v>2016.0</c:v>
                </c:pt>
                <c:pt idx="192">
                  <c:v>2016.0</c:v>
                </c:pt>
                <c:pt idx="193">
                  <c:v>2016.0</c:v>
                </c:pt>
                <c:pt idx="194">
                  <c:v>2016.0</c:v>
                </c:pt>
                <c:pt idx="195">
                  <c:v>2016.0</c:v>
                </c:pt>
                <c:pt idx="196">
                  <c:v>2017.0</c:v>
                </c:pt>
                <c:pt idx="197">
                  <c:v>2017.0</c:v>
                </c:pt>
                <c:pt idx="198">
                  <c:v>2017.0</c:v>
                </c:pt>
                <c:pt idx="199">
                  <c:v>2017.0</c:v>
                </c:pt>
                <c:pt idx="200">
                  <c:v>2017.0</c:v>
                </c:pt>
                <c:pt idx="201">
                  <c:v>2017.0</c:v>
                </c:pt>
                <c:pt idx="202">
                  <c:v>2017.0</c:v>
                </c:pt>
                <c:pt idx="203">
                  <c:v>2017.0</c:v>
                </c:pt>
                <c:pt idx="204">
                  <c:v>2017.0</c:v>
                </c:pt>
                <c:pt idx="205">
                  <c:v>2017.0</c:v>
                </c:pt>
                <c:pt idx="206">
                  <c:v>2017.0</c:v>
                </c:pt>
                <c:pt idx="207">
                  <c:v>2017.0</c:v>
                </c:pt>
                <c:pt idx="208">
                  <c:v>2018.0</c:v>
                </c:pt>
                <c:pt idx="209">
                  <c:v>2018.0</c:v>
                </c:pt>
                <c:pt idx="210">
                  <c:v>2018.0</c:v>
                </c:pt>
                <c:pt idx="211">
                  <c:v>2018.0</c:v>
                </c:pt>
                <c:pt idx="212">
                  <c:v>2018.0</c:v>
                </c:pt>
                <c:pt idx="213">
                  <c:v>2018.0</c:v>
                </c:pt>
                <c:pt idx="214">
                  <c:v>2018.0</c:v>
                </c:pt>
                <c:pt idx="215">
                  <c:v>2018.0</c:v>
                </c:pt>
                <c:pt idx="216">
                  <c:v>2018.0</c:v>
                </c:pt>
                <c:pt idx="217">
                  <c:v>2018.0</c:v>
                </c:pt>
                <c:pt idx="218">
                  <c:v>2018.0</c:v>
                </c:pt>
                <c:pt idx="219">
                  <c:v>2018.0</c:v>
                </c:pt>
              </c:numCache>
            </c:numRef>
          </c:cat>
          <c:val>
            <c:numRef>
              <c:f>preteurs_annees!$O$2:$O$221</c:f>
              <c:numCache>
                <c:formatCode>#,##0</c:formatCode>
                <c:ptCount val="220"/>
                <c:pt idx="0">
                  <c:v>0.0</c:v>
                </c:pt>
                <c:pt idx="1">
                  <c:v>0.0</c:v>
                </c:pt>
                <c:pt idx="2">
                  <c:v>0.0</c:v>
                </c:pt>
                <c:pt idx="3">
                  <c:v>0.0</c:v>
                </c:pt>
                <c:pt idx="4">
                  <c:v>0.0</c:v>
                </c:pt>
                <c:pt idx="5">
                  <c:v>0.0</c:v>
                </c:pt>
                <c:pt idx="6">
                  <c:v>0.0</c:v>
                </c:pt>
                <c:pt idx="7">
                  <c:v>0.0</c:v>
                </c:pt>
                <c:pt idx="8">
                  <c:v>0.0</c:v>
                </c:pt>
                <c:pt idx="9">
                  <c:v>0.0</c:v>
                </c:pt>
                <c:pt idx="10">
                  <c:v>0.0</c:v>
                </c:pt>
                <c:pt idx="11">
                  <c:v>0.0</c:v>
                </c:pt>
                <c:pt idx="12">
                  <c:v>3.04944522967659E6</c:v>
                </c:pt>
                <c:pt idx="13">
                  <c:v>0.0</c:v>
                </c:pt>
                <c:pt idx="14">
                  <c:v>1.9893531532026E6</c:v>
                </c:pt>
                <c:pt idx="15">
                  <c:v>0.0</c:v>
                </c:pt>
                <c:pt idx="16">
                  <c:v>0.0</c:v>
                </c:pt>
                <c:pt idx="17">
                  <c:v>0.0</c:v>
                </c:pt>
                <c:pt idx="18">
                  <c:v>0.0</c:v>
                </c:pt>
                <c:pt idx="19">
                  <c:v>0.0</c:v>
                </c:pt>
                <c:pt idx="20">
                  <c:v>0.0</c:v>
                </c:pt>
                <c:pt idx="21">
                  <c:v>0.0</c:v>
                </c:pt>
                <c:pt idx="22">
                  <c:v>0.0</c:v>
                </c:pt>
                <c:pt idx="23">
                  <c:v>1.603701332E7</c:v>
                </c:pt>
                <c:pt idx="24">
                  <c:v>5.168449036E7</c:v>
                </c:pt>
                <c:pt idx="25">
                  <c:v>1.185992598E7</c:v>
                </c:pt>
                <c:pt idx="26">
                  <c:v>1.948397E6</c:v>
                </c:pt>
                <c:pt idx="27">
                  <c:v>0.0</c:v>
                </c:pt>
                <c:pt idx="28">
                  <c:v>0.0</c:v>
                </c:pt>
                <c:pt idx="29">
                  <c:v>0.0</c:v>
                </c:pt>
                <c:pt idx="30">
                  <c:v>0.0</c:v>
                </c:pt>
                <c:pt idx="31">
                  <c:v>0.0</c:v>
                </c:pt>
                <c:pt idx="32">
                  <c:v>0.0</c:v>
                </c:pt>
                <c:pt idx="33">
                  <c:v>1.309711284E7</c:v>
                </c:pt>
                <c:pt idx="34">
                  <c:v>0.0</c:v>
                </c:pt>
                <c:pt idx="35">
                  <c:v>1.498727627E7</c:v>
                </c:pt>
                <c:pt idx="36">
                  <c:v>8.26074506E7</c:v>
                </c:pt>
                <c:pt idx="37">
                  <c:v>1.358416429E7</c:v>
                </c:pt>
                <c:pt idx="38">
                  <c:v>1.98905007E6</c:v>
                </c:pt>
                <c:pt idx="39">
                  <c:v>0.0</c:v>
                </c:pt>
                <c:pt idx="40">
                  <c:v>0.0</c:v>
                </c:pt>
                <c:pt idx="41">
                  <c:v>0.0</c:v>
                </c:pt>
                <c:pt idx="42">
                  <c:v>0.0</c:v>
                </c:pt>
                <c:pt idx="43">
                  <c:v>0.0</c:v>
                </c:pt>
                <c:pt idx="44">
                  <c:v>1.241835406E7</c:v>
                </c:pt>
                <c:pt idx="45">
                  <c:v>0.0</c:v>
                </c:pt>
                <c:pt idx="46">
                  <c:v>1.373859E7</c:v>
                </c:pt>
                <c:pt idx="47">
                  <c:v>1.02277381E8</c:v>
                </c:pt>
                <c:pt idx="48">
                  <c:v>1.700456698E7</c:v>
                </c:pt>
                <c:pt idx="49">
                  <c:v>1.847765E6</c:v>
                </c:pt>
                <c:pt idx="50">
                  <c:v>0.0</c:v>
                </c:pt>
                <c:pt idx="51">
                  <c:v>0.0</c:v>
                </c:pt>
                <c:pt idx="52">
                  <c:v>0.0</c:v>
                </c:pt>
                <c:pt idx="53">
                  <c:v>0.0</c:v>
                </c:pt>
                <c:pt idx="54">
                  <c:v>0.0</c:v>
                </c:pt>
                <c:pt idx="55">
                  <c:v>1.1715839E7</c:v>
                </c:pt>
                <c:pt idx="56">
                  <c:v>0.0</c:v>
                </c:pt>
                <c:pt idx="57">
                  <c:v>1.1695066E7</c:v>
                </c:pt>
                <c:pt idx="58">
                  <c:v>1.23813785E8</c:v>
                </c:pt>
                <c:pt idx="59">
                  <c:v>1.5704892E7</c:v>
                </c:pt>
                <c:pt idx="60">
                  <c:v>3.509806E6</c:v>
                </c:pt>
                <c:pt idx="61">
                  <c:v>0.0</c:v>
                </c:pt>
                <c:pt idx="62">
                  <c:v>0.0</c:v>
                </c:pt>
                <c:pt idx="63">
                  <c:v>0.0</c:v>
                </c:pt>
                <c:pt idx="64">
                  <c:v>0.0</c:v>
                </c:pt>
                <c:pt idx="65">
                  <c:v>0.0</c:v>
                </c:pt>
                <c:pt idx="66">
                  <c:v>1.0988735E7</c:v>
                </c:pt>
                <c:pt idx="67">
                  <c:v>0.0</c:v>
                </c:pt>
                <c:pt idx="68">
                  <c:v>8.530208E6</c:v>
                </c:pt>
                <c:pt idx="69">
                  <c:v>1.36542862E8</c:v>
                </c:pt>
                <c:pt idx="70">
                  <c:v>2.3481171E7</c:v>
                </c:pt>
                <c:pt idx="71">
                  <c:v>3.007847E6</c:v>
                </c:pt>
                <c:pt idx="72">
                  <c:v>8.0E6</c:v>
                </c:pt>
                <c:pt idx="73">
                  <c:v>0.0</c:v>
                </c:pt>
                <c:pt idx="74">
                  <c:v>0.0</c:v>
                </c:pt>
                <c:pt idx="75">
                  <c:v>0.0</c:v>
                </c:pt>
                <c:pt idx="76">
                  <c:v>0.0</c:v>
                </c:pt>
                <c:pt idx="77">
                  <c:v>1.5236183E7</c:v>
                </c:pt>
                <c:pt idx="78">
                  <c:v>0.0</c:v>
                </c:pt>
                <c:pt idx="79">
                  <c:v>4.32777E6</c:v>
                </c:pt>
                <c:pt idx="80">
                  <c:v>1.4520658243E8</c:v>
                </c:pt>
                <c:pt idx="81">
                  <c:v>2.7091649E7</c:v>
                </c:pt>
                <c:pt idx="82">
                  <c:v>2.491739E6</c:v>
                </c:pt>
                <c:pt idx="83">
                  <c:v>1.3899255E7</c:v>
                </c:pt>
                <c:pt idx="84">
                  <c:v>0.0</c:v>
                </c:pt>
                <c:pt idx="85">
                  <c:v>0.0</c:v>
                </c:pt>
                <c:pt idx="86">
                  <c:v>0.0</c:v>
                </c:pt>
                <c:pt idx="87">
                  <c:v>0.0</c:v>
                </c:pt>
                <c:pt idx="88">
                  <c:v>1.9200454E7</c:v>
                </c:pt>
                <c:pt idx="89">
                  <c:v>0.0</c:v>
                </c:pt>
                <c:pt idx="90">
                  <c:v>3.822074E6</c:v>
                </c:pt>
                <c:pt idx="91">
                  <c:v>1.5222940067E8</c:v>
                </c:pt>
                <c:pt idx="92">
                  <c:v>2.5678258E7</c:v>
                </c:pt>
                <c:pt idx="93">
                  <c:v>1.961039E6</c:v>
                </c:pt>
                <c:pt idx="94">
                  <c:v>1.3559408E7</c:v>
                </c:pt>
                <c:pt idx="95">
                  <c:v>0.0</c:v>
                </c:pt>
                <c:pt idx="96">
                  <c:v>0.0</c:v>
                </c:pt>
                <c:pt idx="97">
                  <c:v>0.0</c:v>
                </c:pt>
                <c:pt idx="98">
                  <c:v>0.0</c:v>
                </c:pt>
                <c:pt idx="99">
                  <c:v>1.8007641E7</c:v>
                </c:pt>
                <c:pt idx="100">
                  <c:v>0.0</c:v>
                </c:pt>
                <c:pt idx="101">
                  <c:v>3.31291E6</c:v>
                </c:pt>
                <c:pt idx="102">
                  <c:v>1.50779507E8</c:v>
                </c:pt>
                <c:pt idx="103">
                  <c:v>2.4043909E7</c:v>
                </c:pt>
                <c:pt idx="104">
                  <c:v>1.415293E6</c:v>
                </c:pt>
                <c:pt idx="105">
                  <c:v>1.30749862E7</c:v>
                </c:pt>
                <c:pt idx="106">
                  <c:v>0.0</c:v>
                </c:pt>
                <c:pt idx="107">
                  <c:v>0.0</c:v>
                </c:pt>
                <c:pt idx="108">
                  <c:v>0.0</c:v>
                </c:pt>
                <c:pt idx="109">
                  <c:v>0.0</c:v>
                </c:pt>
                <c:pt idx="110">
                  <c:v>1.673067E7</c:v>
                </c:pt>
                <c:pt idx="111">
                  <c:v>0.0</c:v>
                </c:pt>
                <c:pt idx="112">
                  <c:v>2.77996E6</c:v>
                </c:pt>
                <c:pt idx="113">
                  <c:v>1.47031906E8</c:v>
                </c:pt>
                <c:pt idx="114">
                  <c:v>2.2357314E7</c:v>
                </c:pt>
                <c:pt idx="115">
                  <c:v>854025.0</c:v>
                </c:pt>
                <c:pt idx="116">
                  <c:v>1.2569878E7</c:v>
                </c:pt>
                <c:pt idx="117">
                  <c:v>0.0</c:v>
                </c:pt>
                <c:pt idx="118">
                  <c:v>0.0</c:v>
                </c:pt>
                <c:pt idx="119">
                  <c:v>0.0</c:v>
                </c:pt>
                <c:pt idx="120">
                  <c:v>0.0</c:v>
                </c:pt>
                <c:pt idx="121">
                  <c:v>1.5407223E7</c:v>
                </c:pt>
                <c:pt idx="122">
                  <c:v>0.0</c:v>
                </c:pt>
                <c:pt idx="123">
                  <c:v>1.0E7</c:v>
                </c:pt>
                <c:pt idx="124">
                  <c:v>2.22669E6</c:v>
                </c:pt>
                <c:pt idx="125">
                  <c:v>1.3934062448E8</c:v>
                </c:pt>
                <c:pt idx="126">
                  <c:v>2.5817021E7</c:v>
                </c:pt>
                <c:pt idx="127">
                  <c:v>671323.0</c:v>
                </c:pt>
                <c:pt idx="128">
                  <c:v>1.9992952E7</c:v>
                </c:pt>
                <c:pt idx="129">
                  <c:v>0.0</c:v>
                </c:pt>
                <c:pt idx="130">
                  <c:v>0.0</c:v>
                </c:pt>
                <c:pt idx="131">
                  <c:v>0.0</c:v>
                </c:pt>
                <c:pt idx="132">
                  <c:v>0.0</c:v>
                </c:pt>
                <c:pt idx="133">
                  <c:v>1.4035599E7</c:v>
                </c:pt>
                <c:pt idx="134">
                  <c:v>0.0</c:v>
                </c:pt>
                <c:pt idx="135">
                  <c:v>9.565445E6</c:v>
                </c:pt>
                <c:pt idx="136">
                  <c:v>7.811474E6</c:v>
                </c:pt>
                <c:pt idx="137">
                  <c:v>1.5280010748E8</c:v>
                </c:pt>
                <c:pt idx="138">
                  <c:v>5.556954752E7</c:v>
                </c:pt>
                <c:pt idx="139">
                  <c:v>482914.0</c:v>
                </c:pt>
                <c:pt idx="140">
                  <c:v>1.9293427E7</c:v>
                </c:pt>
                <c:pt idx="141">
                  <c:v>0.0</c:v>
                </c:pt>
                <c:pt idx="142">
                  <c:v>0.0</c:v>
                </c:pt>
                <c:pt idx="143">
                  <c:v>0.0</c:v>
                </c:pt>
                <c:pt idx="144">
                  <c:v>0.0</c:v>
                </c:pt>
                <c:pt idx="145">
                  <c:v>1.2614032E7</c:v>
                </c:pt>
                <c:pt idx="146">
                  <c:v>0.0</c:v>
                </c:pt>
                <c:pt idx="147">
                  <c:v>9.124585E6</c:v>
                </c:pt>
                <c:pt idx="148">
                  <c:v>6.822028E6</c:v>
                </c:pt>
                <c:pt idx="149">
                  <c:v>1.52649733E8</c:v>
                </c:pt>
                <c:pt idx="150">
                  <c:v>7.3570756E7</c:v>
                </c:pt>
                <c:pt idx="151">
                  <c:v>290449.0</c:v>
                </c:pt>
                <c:pt idx="152">
                  <c:v>1.8558323E7</c:v>
                </c:pt>
                <c:pt idx="153">
                  <c:v>0.0</c:v>
                </c:pt>
                <c:pt idx="154">
                  <c:v>0.0</c:v>
                </c:pt>
                <c:pt idx="155">
                  <c:v>0.0</c:v>
                </c:pt>
                <c:pt idx="156">
                  <c:v>0.0</c:v>
                </c:pt>
                <c:pt idx="157">
                  <c:v>1.114069E7</c:v>
                </c:pt>
                <c:pt idx="158">
                  <c:v>0.0</c:v>
                </c:pt>
                <c:pt idx="159">
                  <c:v>8.677329E6</c:v>
                </c:pt>
                <c:pt idx="160">
                  <c:v>6.292187E6</c:v>
                </c:pt>
                <c:pt idx="161">
                  <c:v>1.82554484E8</c:v>
                </c:pt>
                <c:pt idx="162">
                  <c:v>8.0573199E7</c:v>
                </c:pt>
                <c:pt idx="163">
                  <c:v>93815.0</c:v>
                </c:pt>
                <c:pt idx="164">
                  <c:v>1.7785832E7</c:v>
                </c:pt>
                <c:pt idx="165">
                  <c:v>0.0</c:v>
                </c:pt>
                <c:pt idx="166">
                  <c:v>0.0</c:v>
                </c:pt>
                <c:pt idx="167">
                  <c:v>0.0</c:v>
                </c:pt>
                <c:pt idx="168">
                  <c:v>0.0</c:v>
                </c:pt>
                <c:pt idx="169">
                  <c:v>9.613679E6</c:v>
                </c:pt>
                <c:pt idx="170">
                  <c:v>0.0</c:v>
                </c:pt>
                <c:pt idx="171">
                  <c:v>8.223584E6</c:v>
                </c:pt>
                <c:pt idx="172">
                  <c:v>5.758317E6</c:v>
                </c:pt>
                <c:pt idx="173">
                  <c:v>1.9211368E8</c:v>
                </c:pt>
                <c:pt idx="174">
                  <c:v>7.6476445E7</c:v>
                </c:pt>
                <c:pt idx="175">
                  <c:v>46907.0</c:v>
                </c:pt>
                <c:pt idx="176">
                  <c:v>2.1849051E7</c:v>
                </c:pt>
                <c:pt idx="177">
                  <c:v>5.0E6</c:v>
                </c:pt>
                <c:pt idx="178">
                  <c:v>0.0</c:v>
                </c:pt>
                <c:pt idx="179">
                  <c:v>0.0</c:v>
                </c:pt>
                <c:pt idx="180">
                  <c:v>0.0</c:v>
                </c:pt>
                <c:pt idx="181">
                  <c:v>8.03103E6</c:v>
                </c:pt>
                <c:pt idx="182">
                  <c:v>0.0</c:v>
                </c:pt>
                <c:pt idx="183">
                  <c:v>7.763256E6</c:v>
                </c:pt>
                <c:pt idx="184">
                  <c:v>5.295002E6</c:v>
                </c:pt>
                <c:pt idx="185">
                  <c:v>2.07852696E8</c:v>
                </c:pt>
                <c:pt idx="186">
                  <c:v>7.2276249E7</c:v>
                </c:pt>
                <c:pt idx="187">
                  <c:v>0.0</c:v>
                </c:pt>
                <c:pt idx="188">
                  <c:v>2.0745983E7</c:v>
                </c:pt>
                <c:pt idx="189">
                  <c:v>4.666667E6</c:v>
                </c:pt>
                <c:pt idx="190">
                  <c:v>0.0</c:v>
                </c:pt>
                <c:pt idx="191">
                  <c:v>0.0</c:v>
                </c:pt>
                <c:pt idx="192">
                  <c:v>0.0</c:v>
                </c:pt>
                <c:pt idx="193">
                  <c:v>6.390794E6</c:v>
                </c:pt>
                <c:pt idx="194">
                  <c:v>0.0</c:v>
                </c:pt>
                <c:pt idx="195">
                  <c:v>9.70435E6</c:v>
                </c:pt>
                <c:pt idx="196">
                  <c:v>4.854039E6</c:v>
                </c:pt>
                <c:pt idx="197">
                  <c:v>2.21741019E8</c:v>
                </c:pt>
                <c:pt idx="198">
                  <c:v>6.7968238E7</c:v>
                </c:pt>
                <c:pt idx="199">
                  <c:v>0.0</c:v>
                </c:pt>
                <c:pt idx="200">
                  <c:v>1.9599525E7</c:v>
                </c:pt>
                <c:pt idx="201">
                  <c:v>4.333333E6</c:v>
                </c:pt>
                <c:pt idx="202">
                  <c:v>0.0</c:v>
                </c:pt>
                <c:pt idx="203">
                  <c:v>0.0</c:v>
                </c:pt>
                <c:pt idx="204">
                  <c:v>0.0</c:v>
                </c:pt>
                <c:pt idx="205">
                  <c:v>4.690584E6</c:v>
                </c:pt>
                <c:pt idx="206">
                  <c:v>0.0</c:v>
                </c:pt>
                <c:pt idx="207">
                  <c:v>9.301876E6</c:v>
                </c:pt>
                <c:pt idx="208">
                  <c:v>4.412165E6</c:v>
                </c:pt>
                <c:pt idx="209">
                  <c:v>2.14636548E8</c:v>
                </c:pt>
                <c:pt idx="210">
                  <c:v>6.3547445E7</c:v>
                </c:pt>
                <c:pt idx="211">
                  <c:v>0.0</c:v>
                </c:pt>
                <c:pt idx="212">
                  <c:v>1.8407472E7</c:v>
                </c:pt>
                <c:pt idx="213">
                  <c:v>4.0E6</c:v>
                </c:pt>
                <c:pt idx="214">
                  <c:v>0.0</c:v>
                </c:pt>
                <c:pt idx="215">
                  <c:v>0.0</c:v>
                </c:pt>
                <c:pt idx="216">
                  <c:v>0.0</c:v>
                </c:pt>
                <c:pt idx="217">
                  <c:v>4.06563351E6</c:v>
                </c:pt>
                <c:pt idx="218">
                  <c:v>0.0</c:v>
                </c:pt>
                <c:pt idx="219">
                  <c:v>8.889737E6</c:v>
                </c:pt>
              </c:numCache>
            </c:numRef>
          </c:val>
          <c:smooth val="0"/>
        </c:ser>
        <c:dLbls>
          <c:showLegendKey val="0"/>
          <c:showVal val="0"/>
          <c:showCatName val="0"/>
          <c:showSerName val="0"/>
          <c:showPercent val="0"/>
          <c:showBubbleSize val="0"/>
        </c:dLbls>
        <c:marker val="1"/>
        <c:smooth val="0"/>
        <c:axId val="1578889048"/>
        <c:axId val="1578437144"/>
      </c:lineChart>
      <c:lineChart>
        <c:grouping val="standard"/>
        <c:varyColors val="0"/>
        <c:ser>
          <c:idx val="2"/>
          <c:order val="2"/>
          <c:tx>
            <c:strRef>
              <c:f>preteurs_annees!$G$1</c:f>
              <c:strCache>
                <c:ptCount val="1"/>
                <c:pt idx="0">
                  <c:v>Intérêts</c:v>
                </c:pt>
              </c:strCache>
            </c:strRef>
          </c:tx>
          <c:spPr>
            <a:ln w="25400">
              <a:prstDash val="sysDash"/>
            </a:ln>
          </c:spPr>
          <c:cat>
            <c:numRef>
              <c:f>preteurs_annees!$A$2:$A$221</c:f>
              <c:numCache>
                <c:formatCode>General</c:formatCode>
                <c:ptCount val="220"/>
                <c:pt idx="0">
                  <c:v>2000.0</c:v>
                </c:pt>
                <c:pt idx="1">
                  <c:v>2000.0</c:v>
                </c:pt>
                <c:pt idx="2">
                  <c:v>2000.0</c:v>
                </c:pt>
                <c:pt idx="3">
                  <c:v>2000.0</c:v>
                </c:pt>
                <c:pt idx="4">
                  <c:v>2000.0</c:v>
                </c:pt>
                <c:pt idx="5">
                  <c:v>2000.0</c:v>
                </c:pt>
                <c:pt idx="6">
                  <c:v>2000.0</c:v>
                </c:pt>
                <c:pt idx="7">
                  <c:v>2000.0</c:v>
                </c:pt>
                <c:pt idx="8">
                  <c:v>2000.0</c:v>
                </c:pt>
                <c:pt idx="9">
                  <c:v>2000.0</c:v>
                </c:pt>
                <c:pt idx="10">
                  <c:v>2000.0</c:v>
                </c:pt>
                <c:pt idx="11">
                  <c:v>2001.0</c:v>
                </c:pt>
                <c:pt idx="12">
                  <c:v>2001.0</c:v>
                </c:pt>
                <c:pt idx="13">
                  <c:v>2001.0</c:v>
                </c:pt>
                <c:pt idx="14">
                  <c:v>2001.0</c:v>
                </c:pt>
                <c:pt idx="15">
                  <c:v>2001.0</c:v>
                </c:pt>
                <c:pt idx="16">
                  <c:v>2001.0</c:v>
                </c:pt>
                <c:pt idx="17">
                  <c:v>2001.0</c:v>
                </c:pt>
                <c:pt idx="18">
                  <c:v>2001.0</c:v>
                </c:pt>
                <c:pt idx="19">
                  <c:v>2001.0</c:v>
                </c:pt>
                <c:pt idx="20">
                  <c:v>2001.0</c:v>
                </c:pt>
                <c:pt idx="21">
                  <c:v>2001.0</c:v>
                </c:pt>
                <c:pt idx="22">
                  <c:v>2001.0</c:v>
                </c:pt>
                <c:pt idx="23">
                  <c:v>2002.0</c:v>
                </c:pt>
                <c:pt idx="24">
                  <c:v>2002.0</c:v>
                </c:pt>
                <c:pt idx="25">
                  <c:v>2002.0</c:v>
                </c:pt>
                <c:pt idx="26">
                  <c:v>2002.0</c:v>
                </c:pt>
                <c:pt idx="27">
                  <c:v>2002.0</c:v>
                </c:pt>
                <c:pt idx="28">
                  <c:v>2002.0</c:v>
                </c:pt>
                <c:pt idx="29">
                  <c:v>2002.0</c:v>
                </c:pt>
                <c:pt idx="30">
                  <c:v>2002.0</c:v>
                </c:pt>
                <c:pt idx="31">
                  <c:v>2002.0</c:v>
                </c:pt>
                <c:pt idx="32">
                  <c:v>2002.0</c:v>
                </c:pt>
                <c:pt idx="33">
                  <c:v>2002.0</c:v>
                </c:pt>
                <c:pt idx="34">
                  <c:v>2002.0</c:v>
                </c:pt>
                <c:pt idx="35">
                  <c:v>2003.0</c:v>
                </c:pt>
                <c:pt idx="36">
                  <c:v>2003.0</c:v>
                </c:pt>
                <c:pt idx="37">
                  <c:v>2003.0</c:v>
                </c:pt>
                <c:pt idx="38">
                  <c:v>2003.0</c:v>
                </c:pt>
                <c:pt idx="39">
                  <c:v>2003.0</c:v>
                </c:pt>
                <c:pt idx="40">
                  <c:v>2003.0</c:v>
                </c:pt>
                <c:pt idx="41">
                  <c:v>2003.0</c:v>
                </c:pt>
                <c:pt idx="42">
                  <c:v>2003.0</c:v>
                </c:pt>
                <c:pt idx="43">
                  <c:v>2003.0</c:v>
                </c:pt>
                <c:pt idx="44">
                  <c:v>2003.0</c:v>
                </c:pt>
                <c:pt idx="45">
                  <c:v>2003.0</c:v>
                </c:pt>
                <c:pt idx="46">
                  <c:v>2004.0</c:v>
                </c:pt>
                <c:pt idx="47">
                  <c:v>2004.0</c:v>
                </c:pt>
                <c:pt idx="48">
                  <c:v>2004.0</c:v>
                </c:pt>
                <c:pt idx="49">
                  <c:v>2004.0</c:v>
                </c:pt>
                <c:pt idx="50">
                  <c:v>2004.0</c:v>
                </c:pt>
                <c:pt idx="51">
                  <c:v>2004.0</c:v>
                </c:pt>
                <c:pt idx="52">
                  <c:v>2004.0</c:v>
                </c:pt>
                <c:pt idx="53">
                  <c:v>2004.0</c:v>
                </c:pt>
                <c:pt idx="54">
                  <c:v>2004.0</c:v>
                </c:pt>
                <c:pt idx="55">
                  <c:v>2004.0</c:v>
                </c:pt>
                <c:pt idx="56">
                  <c:v>2004.0</c:v>
                </c:pt>
                <c:pt idx="57">
                  <c:v>2005.0</c:v>
                </c:pt>
                <c:pt idx="58">
                  <c:v>2005.0</c:v>
                </c:pt>
                <c:pt idx="59">
                  <c:v>2005.0</c:v>
                </c:pt>
                <c:pt idx="60">
                  <c:v>2005.0</c:v>
                </c:pt>
                <c:pt idx="61">
                  <c:v>2005.0</c:v>
                </c:pt>
                <c:pt idx="62">
                  <c:v>2005.0</c:v>
                </c:pt>
                <c:pt idx="63">
                  <c:v>2005.0</c:v>
                </c:pt>
                <c:pt idx="64">
                  <c:v>2005.0</c:v>
                </c:pt>
                <c:pt idx="65">
                  <c:v>2005.0</c:v>
                </c:pt>
                <c:pt idx="66">
                  <c:v>2005.0</c:v>
                </c:pt>
                <c:pt idx="67">
                  <c:v>2005.0</c:v>
                </c:pt>
                <c:pt idx="68">
                  <c:v>2006.0</c:v>
                </c:pt>
                <c:pt idx="69">
                  <c:v>2006.0</c:v>
                </c:pt>
                <c:pt idx="70">
                  <c:v>2006.0</c:v>
                </c:pt>
                <c:pt idx="71">
                  <c:v>2006.0</c:v>
                </c:pt>
                <c:pt idx="72">
                  <c:v>2006.0</c:v>
                </c:pt>
                <c:pt idx="73">
                  <c:v>2006.0</c:v>
                </c:pt>
                <c:pt idx="74">
                  <c:v>2006.0</c:v>
                </c:pt>
                <c:pt idx="75">
                  <c:v>2006.0</c:v>
                </c:pt>
                <c:pt idx="76">
                  <c:v>2006.0</c:v>
                </c:pt>
                <c:pt idx="77">
                  <c:v>2006.0</c:v>
                </c:pt>
                <c:pt idx="78">
                  <c:v>2006.0</c:v>
                </c:pt>
                <c:pt idx="79">
                  <c:v>2007.0</c:v>
                </c:pt>
                <c:pt idx="80">
                  <c:v>2007.0</c:v>
                </c:pt>
                <c:pt idx="81">
                  <c:v>2007.0</c:v>
                </c:pt>
                <c:pt idx="82">
                  <c:v>2007.0</c:v>
                </c:pt>
                <c:pt idx="83">
                  <c:v>2007.0</c:v>
                </c:pt>
                <c:pt idx="84">
                  <c:v>2007.0</c:v>
                </c:pt>
                <c:pt idx="85">
                  <c:v>2007.0</c:v>
                </c:pt>
                <c:pt idx="86">
                  <c:v>2007.0</c:v>
                </c:pt>
                <c:pt idx="87">
                  <c:v>2007.0</c:v>
                </c:pt>
                <c:pt idx="88">
                  <c:v>2007.0</c:v>
                </c:pt>
                <c:pt idx="89">
                  <c:v>2007.0</c:v>
                </c:pt>
                <c:pt idx="90">
                  <c:v>2008.0</c:v>
                </c:pt>
                <c:pt idx="91">
                  <c:v>2008.0</c:v>
                </c:pt>
                <c:pt idx="92">
                  <c:v>2008.0</c:v>
                </c:pt>
                <c:pt idx="93">
                  <c:v>2008.0</c:v>
                </c:pt>
                <c:pt idx="94">
                  <c:v>2008.0</c:v>
                </c:pt>
                <c:pt idx="95">
                  <c:v>2008.0</c:v>
                </c:pt>
                <c:pt idx="96">
                  <c:v>2008.0</c:v>
                </c:pt>
                <c:pt idx="97">
                  <c:v>2008.0</c:v>
                </c:pt>
                <c:pt idx="98">
                  <c:v>2008.0</c:v>
                </c:pt>
                <c:pt idx="99">
                  <c:v>2008.0</c:v>
                </c:pt>
                <c:pt idx="100">
                  <c:v>2008.0</c:v>
                </c:pt>
                <c:pt idx="101">
                  <c:v>2009.0</c:v>
                </c:pt>
                <c:pt idx="102">
                  <c:v>2009.0</c:v>
                </c:pt>
                <c:pt idx="103">
                  <c:v>2009.0</c:v>
                </c:pt>
                <c:pt idx="104">
                  <c:v>2009.0</c:v>
                </c:pt>
                <c:pt idx="105">
                  <c:v>2009.0</c:v>
                </c:pt>
                <c:pt idx="106">
                  <c:v>2009.0</c:v>
                </c:pt>
                <c:pt idx="107">
                  <c:v>2009.0</c:v>
                </c:pt>
                <c:pt idx="108">
                  <c:v>2009.0</c:v>
                </c:pt>
                <c:pt idx="109">
                  <c:v>2009.0</c:v>
                </c:pt>
                <c:pt idx="110">
                  <c:v>2009.0</c:v>
                </c:pt>
                <c:pt idx="111">
                  <c:v>2009.0</c:v>
                </c:pt>
                <c:pt idx="112">
                  <c:v>2010.0</c:v>
                </c:pt>
                <c:pt idx="113">
                  <c:v>2010.0</c:v>
                </c:pt>
                <c:pt idx="114">
                  <c:v>2010.0</c:v>
                </c:pt>
                <c:pt idx="115">
                  <c:v>2010.0</c:v>
                </c:pt>
                <c:pt idx="116">
                  <c:v>2010.0</c:v>
                </c:pt>
                <c:pt idx="117">
                  <c:v>2010.0</c:v>
                </c:pt>
                <c:pt idx="118">
                  <c:v>2010.0</c:v>
                </c:pt>
                <c:pt idx="119">
                  <c:v>2010.0</c:v>
                </c:pt>
                <c:pt idx="120">
                  <c:v>2010.0</c:v>
                </c:pt>
                <c:pt idx="121">
                  <c:v>2010.0</c:v>
                </c:pt>
                <c:pt idx="122">
                  <c:v>2010.0</c:v>
                </c:pt>
                <c:pt idx="123">
                  <c:v>2010.0</c:v>
                </c:pt>
                <c:pt idx="124">
                  <c:v>2011.0</c:v>
                </c:pt>
                <c:pt idx="125">
                  <c:v>2011.0</c:v>
                </c:pt>
                <c:pt idx="126">
                  <c:v>2011.0</c:v>
                </c:pt>
                <c:pt idx="127">
                  <c:v>2011.0</c:v>
                </c:pt>
                <c:pt idx="128">
                  <c:v>2011.0</c:v>
                </c:pt>
                <c:pt idx="129">
                  <c:v>2011.0</c:v>
                </c:pt>
                <c:pt idx="130">
                  <c:v>2011.0</c:v>
                </c:pt>
                <c:pt idx="131">
                  <c:v>2011.0</c:v>
                </c:pt>
                <c:pt idx="132">
                  <c:v>2011.0</c:v>
                </c:pt>
                <c:pt idx="133">
                  <c:v>2011.0</c:v>
                </c:pt>
                <c:pt idx="134">
                  <c:v>2011.0</c:v>
                </c:pt>
                <c:pt idx="135">
                  <c:v>2011.0</c:v>
                </c:pt>
                <c:pt idx="136">
                  <c:v>2012.0</c:v>
                </c:pt>
                <c:pt idx="137">
                  <c:v>2012.0</c:v>
                </c:pt>
                <c:pt idx="138">
                  <c:v>2012.0</c:v>
                </c:pt>
                <c:pt idx="139">
                  <c:v>2012.0</c:v>
                </c:pt>
                <c:pt idx="140">
                  <c:v>2012.0</c:v>
                </c:pt>
                <c:pt idx="141">
                  <c:v>2012.0</c:v>
                </c:pt>
                <c:pt idx="142">
                  <c:v>2012.0</c:v>
                </c:pt>
                <c:pt idx="143">
                  <c:v>2012.0</c:v>
                </c:pt>
                <c:pt idx="144">
                  <c:v>2012.0</c:v>
                </c:pt>
                <c:pt idx="145">
                  <c:v>2012.0</c:v>
                </c:pt>
                <c:pt idx="146">
                  <c:v>2012.0</c:v>
                </c:pt>
                <c:pt idx="147">
                  <c:v>2012.0</c:v>
                </c:pt>
                <c:pt idx="148">
                  <c:v>2013.0</c:v>
                </c:pt>
                <c:pt idx="149">
                  <c:v>2013.0</c:v>
                </c:pt>
                <c:pt idx="150">
                  <c:v>2013.0</c:v>
                </c:pt>
                <c:pt idx="151">
                  <c:v>2013.0</c:v>
                </c:pt>
                <c:pt idx="152">
                  <c:v>2013.0</c:v>
                </c:pt>
                <c:pt idx="153">
                  <c:v>2013.0</c:v>
                </c:pt>
                <c:pt idx="154">
                  <c:v>2013.0</c:v>
                </c:pt>
                <c:pt idx="155">
                  <c:v>2013.0</c:v>
                </c:pt>
                <c:pt idx="156">
                  <c:v>2013.0</c:v>
                </c:pt>
                <c:pt idx="157">
                  <c:v>2013.0</c:v>
                </c:pt>
                <c:pt idx="158">
                  <c:v>2013.0</c:v>
                </c:pt>
                <c:pt idx="159">
                  <c:v>2013.0</c:v>
                </c:pt>
                <c:pt idx="160">
                  <c:v>2014.0</c:v>
                </c:pt>
                <c:pt idx="161">
                  <c:v>2014.0</c:v>
                </c:pt>
                <c:pt idx="162">
                  <c:v>2014.0</c:v>
                </c:pt>
                <c:pt idx="163">
                  <c:v>2014.0</c:v>
                </c:pt>
                <c:pt idx="164">
                  <c:v>2014.0</c:v>
                </c:pt>
                <c:pt idx="165">
                  <c:v>2014.0</c:v>
                </c:pt>
                <c:pt idx="166">
                  <c:v>2014.0</c:v>
                </c:pt>
                <c:pt idx="167">
                  <c:v>2014.0</c:v>
                </c:pt>
                <c:pt idx="168">
                  <c:v>2014.0</c:v>
                </c:pt>
                <c:pt idx="169">
                  <c:v>2014.0</c:v>
                </c:pt>
                <c:pt idx="170">
                  <c:v>2014.0</c:v>
                </c:pt>
                <c:pt idx="171">
                  <c:v>2014.0</c:v>
                </c:pt>
                <c:pt idx="172">
                  <c:v>2015.0</c:v>
                </c:pt>
                <c:pt idx="173">
                  <c:v>2015.0</c:v>
                </c:pt>
                <c:pt idx="174">
                  <c:v>2015.0</c:v>
                </c:pt>
                <c:pt idx="175">
                  <c:v>2015.0</c:v>
                </c:pt>
                <c:pt idx="176">
                  <c:v>2015.0</c:v>
                </c:pt>
                <c:pt idx="177">
                  <c:v>2015.0</c:v>
                </c:pt>
                <c:pt idx="178">
                  <c:v>2015.0</c:v>
                </c:pt>
                <c:pt idx="179">
                  <c:v>2015.0</c:v>
                </c:pt>
                <c:pt idx="180">
                  <c:v>2015.0</c:v>
                </c:pt>
                <c:pt idx="181">
                  <c:v>2015.0</c:v>
                </c:pt>
                <c:pt idx="182">
                  <c:v>2015.0</c:v>
                </c:pt>
                <c:pt idx="183">
                  <c:v>2015.0</c:v>
                </c:pt>
                <c:pt idx="184">
                  <c:v>2016.0</c:v>
                </c:pt>
                <c:pt idx="185">
                  <c:v>2016.0</c:v>
                </c:pt>
                <c:pt idx="186">
                  <c:v>2016.0</c:v>
                </c:pt>
                <c:pt idx="187">
                  <c:v>2016.0</c:v>
                </c:pt>
                <c:pt idx="188">
                  <c:v>2016.0</c:v>
                </c:pt>
                <c:pt idx="189">
                  <c:v>2016.0</c:v>
                </c:pt>
                <c:pt idx="190">
                  <c:v>2016.0</c:v>
                </c:pt>
                <c:pt idx="191">
                  <c:v>2016.0</c:v>
                </c:pt>
                <c:pt idx="192">
                  <c:v>2016.0</c:v>
                </c:pt>
                <c:pt idx="193">
                  <c:v>2016.0</c:v>
                </c:pt>
                <c:pt idx="194">
                  <c:v>2016.0</c:v>
                </c:pt>
                <c:pt idx="195">
                  <c:v>2016.0</c:v>
                </c:pt>
                <c:pt idx="196">
                  <c:v>2017.0</c:v>
                </c:pt>
                <c:pt idx="197">
                  <c:v>2017.0</c:v>
                </c:pt>
                <c:pt idx="198">
                  <c:v>2017.0</c:v>
                </c:pt>
                <c:pt idx="199">
                  <c:v>2017.0</c:v>
                </c:pt>
                <c:pt idx="200">
                  <c:v>2017.0</c:v>
                </c:pt>
                <c:pt idx="201">
                  <c:v>2017.0</c:v>
                </c:pt>
                <c:pt idx="202">
                  <c:v>2017.0</c:v>
                </c:pt>
                <c:pt idx="203">
                  <c:v>2017.0</c:v>
                </c:pt>
                <c:pt idx="204">
                  <c:v>2017.0</c:v>
                </c:pt>
                <c:pt idx="205">
                  <c:v>2017.0</c:v>
                </c:pt>
                <c:pt idx="206">
                  <c:v>2017.0</c:v>
                </c:pt>
                <c:pt idx="207">
                  <c:v>2017.0</c:v>
                </c:pt>
                <c:pt idx="208">
                  <c:v>2018.0</c:v>
                </c:pt>
                <c:pt idx="209">
                  <c:v>2018.0</c:v>
                </c:pt>
                <c:pt idx="210">
                  <c:v>2018.0</c:v>
                </c:pt>
                <c:pt idx="211">
                  <c:v>2018.0</c:v>
                </c:pt>
                <c:pt idx="212">
                  <c:v>2018.0</c:v>
                </c:pt>
                <c:pt idx="213">
                  <c:v>2018.0</c:v>
                </c:pt>
                <c:pt idx="214">
                  <c:v>2018.0</c:v>
                </c:pt>
                <c:pt idx="215">
                  <c:v>2018.0</c:v>
                </c:pt>
                <c:pt idx="216">
                  <c:v>2018.0</c:v>
                </c:pt>
                <c:pt idx="217">
                  <c:v>2018.0</c:v>
                </c:pt>
                <c:pt idx="218">
                  <c:v>2018.0</c:v>
                </c:pt>
                <c:pt idx="219">
                  <c:v>2018.0</c:v>
                </c:pt>
              </c:numCache>
            </c:numRef>
          </c:cat>
          <c:val>
            <c:numRef>
              <c:f>preteurs_annees!$G$2:$G$221</c:f>
              <c:numCache>
                <c:formatCode>#,##0</c:formatCode>
                <c:ptCount val="220"/>
                <c:pt idx="0">
                  <c:v>2.27371690627683E6</c:v>
                </c:pt>
                <c:pt idx="1">
                  <c:v>3.74361541616541E6</c:v>
                </c:pt>
                <c:pt idx="2">
                  <c:v>615054.396004007</c:v>
                </c:pt>
                <c:pt idx="3">
                  <c:v>246943.4236426538</c:v>
                </c:pt>
                <c:pt idx="4">
                  <c:v>326653.2643548822</c:v>
                </c:pt>
                <c:pt idx="5">
                  <c:v>371592.7328670732</c:v>
                </c:pt>
                <c:pt idx="6">
                  <c:v>379529.1580329249</c:v>
                </c:pt>
                <c:pt idx="7">
                  <c:v>429892.4292948005</c:v>
                </c:pt>
                <c:pt idx="8">
                  <c:v>540542.8439431156</c:v>
                </c:pt>
                <c:pt idx="9">
                  <c:v>271906.52840482</c:v>
                </c:pt>
                <c:pt idx="10">
                  <c:v>425965.0503082227</c:v>
                </c:pt>
                <c:pt idx="11">
                  <c:v>2.11011306428078E6</c:v>
                </c:pt>
                <c:pt idx="12">
                  <c:v>4.10088631668184E6</c:v>
                </c:pt>
                <c:pt idx="13">
                  <c:v>1.06527648100119E6</c:v>
                </c:pt>
                <c:pt idx="14">
                  <c:v>292594.2957077533</c:v>
                </c:pt>
                <c:pt idx="15">
                  <c:v>195747.0607159793</c:v>
                </c:pt>
                <c:pt idx="16">
                  <c:v>345331.5860012167</c:v>
                </c:pt>
                <c:pt idx="17">
                  <c:v>351073.9109287543</c:v>
                </c:pt>
                <c:pt idx="18">
                  <c:v>474372.2488286319</c:v>
                </c:pt>
                <c:pt idx="19">
                  <c:v>495237.8384312434</c:v>
                </c:pt>
                <c:pt idx="20">
                  <c:v>256001.9973866254</c:v>
                </c:pt>
                <c:pt idx="21">
                  <c:v>0.0</c:v>
                </c:pt>
                <c:pt idx="22">
                  <c:v>405521.3407800786</c:v>
                </c:pt>
                <c:pt idx="23">
                  <c:v>2.05719272E6</c:v>
                </c:pt>
                <c:pt idx="24">
                  <c:v>4.98576527E6</c:v>
                </c:pt>
                <c:pt idx="25">
                  <c:v>401869.39</c:v>
                </c:pt>
                <c:pt idx="26">
                  <c:v>284456.45</c:v>
                </c:pt>
                <c:pt idx="27">
                  <c:v>172641.03</c:v>
                </c:pt>
                <c:pt idx="28">
                  <c:v>292301.88</c:v>
                </c:pt>
                <c:pt idx="29">
                  <c:v>284689.44</c:v>
                </c:pt>
                <c:pt idx="30">
                  <c:v>108877.19</c:v>
                </c:pt>
                <c:pt idx="31">
                  <c:v>390183.54</c:v>
                </c:pt>
                <c:pt idx="32">
                  <c:v>238709.1</c:v>
                </c:pt>
                <c:pt idx="33">
                  <c:v>211666.26</c:v>
                </c:pt>
                <c:pt idx="34">
                  <c:v>383098.06</c:v>
                </c:pt>
                <c:pt idx="35">
                  <c:v>2.21810699E6</c:v>
                </c:pt>
                <c:pt idx="36">
                  <c:v>3.79647329E6</c:v>
                </c:pt>
                <c:pt idx="37">
                  <c:v>838469.23</c:v>
                </c:pt>
                <c:pt idx="38">
                  <c:v>237066.18</c:v>
                </c:pt>
                <c:pt idx="39">
                  <c:v>148101.81</c:v>
                </c:pt>
                <c:pt idx="40">
                  <c:v>254591.71</c:v>
                </c:pt>
                <c:pt idx="41">
                  <c:v>222918.85</c:v>
                </c:pt>
                <c:pt idx="42">
                  <c:v>0.0</c:v>
                </c:pt>
                <c:pt idx="43">
                  <c:v>219988.66</c:v>
                </c:pt>
                <c:pt idx="44">
                  <c:v>458398.95</c:v>
                </c:pt>
                <c:pt idx="45">
                  <c:v>345444.46</c:v>
                </c:pt>
                <c:pt idx="46">
                  <c:v>2.08393794E6</c:v>
                </c:pt>
                <c:pt idx="47">
                  <c:v>3.26926959E6</c:v>
                </c:pt>
                <c:pt idx="48">
                  <c:v>667817.37</c:v>
                </c:pt>
                <c:pt idx="49">
                  <c:v>212634.61</c:v>
                </c:pt>
                <c:pt idx="50">
                  <c:v>122006.81</c:v>
                </c:pt>
                <c:pt idx="51">
                  <c:v>131083.9</c:v>
                </c:pt>
                <c:pt idx="52">
                  <c:v>164359.93</c:v>
                </c:pt>
                <c:pt idx="53">
                  <c:v>0.0</c:v>
                </c:pt>
                <c:pt idx="54">
                  <c:v>199676.96</c:v>
                </c:pt>
                <c:pt idx="55">
                  <c:v>434642.39</c:v>
                </c:pt>
                <c:pt idx="56">
                  <c:v>196662.41</c:v>
                </c:pt>
                <c:pt idx="57">
                  <c:v>1.78411058E6</c:v>
                </c:pt>
                <c:pt idx="58">
                  <c:v>4.05188706E6</c:v>
                </c:pt>
                <c:pt idx="59">
                  <c:v>508282.73</c:v>
                </c:pt>
                <c:pt idx="60">
                  <c:v>99270.26</c:v>
                </c:pt>
                <c:pt idx="61">
                  <c:v>94257.39</c:v>
                </c:pt>
                <c:pt idx="62">
                  <c:v>78270.35</c:v>
                </c:pt>
                <c:pt idx="63">
                  <c:v>136752.01</c:v>
                </c:pt>
                <c:pt idx="64">
                  <c:v>0.0</c:v>
                </c:pt>
                <c:pt idx="65">
                  <c:v>177638.78</c:v>
                </c:pt>
                <c:pt idx="66">
                  <c:v>410054.36</c:v>
                </c:pt>
                <c:pt idx="67">
                  <c:v>67626.77</c:v>
                </c:pt>
                <c:pt idx="68">
                  <c:v>603170.56</c:v>
                </c:pt>
                <c:pt idx="69">
                  <c:v>4.37007843E6</c:v>
                </c:pt>
                <c:pt idx="70">
                  <c:v>339939.14</c:v>
                </c:pt>
                <c:pt idx="71">
                  <c:v>117943.48</c:v>
                </c:pt>
                <c:pt idx="72">
                  <c:v>64748.65</c:v>
                </c:pt>
                <c:pt idx="73">
                  <c:v>0.0</c:v>
                </c:pt>
                <c:pt idx="74">
                  <c:v>106900.65</c:v>
                </c:pt>
                <c:pt idx="75">
                  <c:v>0.0</c:v>
                </c:pt>
                <c:pt idx="76">
                  <c:v>0.0</c:v>
                </c:pt>
                <c:pt idx="77">
                  <c:v>281272.55</c:v>
                </c:pt>
                <c:pt idx="78">
                  <c:v>21884.06</c:v>
                </c:pt>
                <c:pt idx="79">
                  <c:v>325942.69</c:v>
                </c:pt>
                <c:pt idx="80">
                  <c:v>4.83178606E6</c:v>
                </c:pt>
                <c:pt idx="81">
                  <c:v>784705.29</c:v>
                </c:pt>
                <c:pt idx="82">
                  <c:v>97918.39</c:v>
                </c:pt>
                <c:pt idx="83">
                  <c:v>349353.63</c:v>
                </c:pt>
                <c:pt idx="84">
                  <c:v>0.0</c:v>
                </c:pt>
                <c:pt idx="85">
                  <c:v>74615.47</c:v>
                </c:pt>
                <c:pt idx="86">
                  <c:v>0.0</c:v>
                </c:pt>
                <c:pt idx="87">
                  <c:v>0.0</c:v>
                </c:pt>
                <c:pt idx="88">
                  <c:v>706349.08</c:v>
                </c:pt>
                <c:pt idx="89">
                  <c:v>17482.09</c:v>
                </c:pt>
                <c:pt idx="90">
                  <c:v>167673.7</c:v>
                </c:pt>
                <c:pt idx="91">
                  <c:v>4.71083777E6</c:v>
                </c:pt>
                <c:pt idx="92">
                  <c:v>502061.36</c:v>
                </c:pt>
                <c:pt idx="93">
                  <c:v>81669.74000000001</c:v>
                </c:pt>
                <c:pt idx="94">
                  <c:v>356413.14</c:v>
                </c:pt>
                <c:pt idx="95">
                  <c:v>0.0</c:v>
                </c:pt>
                <c:pt idx="96">
                  <c:v>39689.62</c:v>
                </c:pt>
                <c:pt idx="97">
                  <c:v>0.0</c:v>
                </c:pt>
                <c:pt idx="98">
                  <c:v>0.0</c:v>
                </c:pt>
                <c:pt idx="99">
                  <c:v>719709.3</c:v>
                </c:pt>
                <c:pt idx="100">
                  <c:v>13080.13</c:v>
                </c:pt>
                <c:pt idx="101">
                  <c:v>172158.5</c:v>
                </c:pt>
                <c:pt idx="102">
                  <c:v>4.28167022E6</c:v>
                </c:pt>
                <c:pt idx="103">
                  <c:v>655235.59</c:v>
                </c:pt>
                <c:pt idx="104">
                  <c:v>64964.62</c:v>
                </c:pt>
                <c:pt idx="105">
                  <c:v>462543.55</c:v>
                </c:pt>
                <c:pt idx="106">
                  <c:v>0.0</c:v>
                </c:pt>
                <c:pt idx="107">
                  <c:v>1898.33</c:v>
                </c:pt>
                <c:pt idx="108">
                  <c:v>0.0</c:v>
                </c:pt>
                <c:pt idx="109">
                  <c:v>0.0</c:v>
                </c:pt>
                <c:pt idx="110">
                  <c:v>513195.72</c:v>
                </c:pt>
                <c:pt idx="111">
                  <c:v>8678.16</c:v>
                </c:pt>
                <c:pt idx="112">
                  <c:v>72136.21000000001</c:v>
                </c:pt>
                <c:pt idx="113">
                  <c:v>4.38031799E6</c:v>
                </c:pt>
                <c:pt idx="114">
                  <c:v>667551.29</c:v>
                </c:pt>
                <c:pt idx="115">
                  <c:v>47788.62</c:v>
                </c:pt>
                <c:pt idx="116">
                  <c:v>465141.5</c:v>
                </c:pt>
                <c:pt idx="117">
                  <c:v>0.0</c:v>
                </c:pt>
                <c:pt idx="118">
                  <c:v>0.0</c:v>
                </c:pt>
                <c:pt idx="119">
                  <c:v>0.0</c:v>
                </c:pt>
                <c:pt idx="120">
                  <c:v>0.0</c:v>
                </c:pt>
                <c:pt idx="121">
                  <c:v>522982.8</c:v>
                </c:pt>
                <c:pt idx="122">
                  <c:v>4276.2</c:v>
                </c:pt>
                <c:pt idx="123">
                  <c:v>0.0</c:v>
                </c:pt>
                <c:pt idx="124">
                  <c:v>36862.0</c:v>
                </c:pt>
                <c:pt idx="125">
                  <c:v>5.31952554E6</c:v>
                </c:pt>
                <c:pt idx="126">
                  <c:v>615898.64</c:v>
                </c:pt>
                <c:pt idx="127">
                  <c:v>29705.62</c:v>
                </c:pt>
                <c:pt idx="128">
                  <c:v>656540.89</c:v>
                </c:pt>
                <c:pt idx="129">
                  <c:v>0.0</c:v>
                </c:pt>
                <c:pt idx="130">
                  <c:v>0.0</c:v>
                </c:pt>
                <c:pt idx="131">
                  <c:v>0.0</c:v>
                </c:pt>
                <c:pt idx="132">
                  <c:v>0.0</c:v>
                </c:pt>
                <c:pt idx="133">
                  <c:v>413597.33</c:v>
                </c:pt>
                <c:pt idx="134">
                  <c:v>0.0</c:v>
                </c:pt>
                <c:pt idx="135">
                  <c:v>144220.16</c:v>
                </c:pt>
                <c:pt idx="136">
                  <c:v>168765.19</c:v>
                </c:pt>
                <c:pt idx="137">
                  <c:v>1.022006795E7</c:v>
                </c:pt>
                <c:pt idx="138">
                  <c:v>1.49815521E6</c:v>
                </c:pt>
                <c:pt idx="139">
                  <c:v>13719.14</c:v>
                </c:pt>
                <c:pt idx="140">
                  <c:v>578080.65</c:v>
                </c:pt>
                <c:pt idx="141">
                  <c:v>0.0</c:v>
                </c:pt>
                <c:pt idx="142">
                  <c:v>0.0</c:v>
                </c:pt>
                <c:pt idx="143">
                  <c:v>0.0</c:v>
                </c:pt>
                <c:pt idx="144">
                  <c:v>0.0</c:v>
                </c:pt>
                <c:pt idx="145">
                  <c:v>265326.86</c:v>
                </c:pt>
                <c:pt idx="146">
                  <c:v>0.0</c:v>
                </c:pt>
                <c:pt idx="147">
                  <c:v>61564.97</c:v>
                </c:pt>
                <c:pt idx="148">
                  <c:v>166842.17</c:v>
                </c:pt>
                <c:pt idx="149">
                  <c:v>5.17743805E6</c:v>
                </c:pt>
                <c:pt idx="150">
                  <c:v>1.97108169E6</c:v>
                </c:pt>
                <c:pt idx="151">
                  <c:v>13719.14</c:v>
                </c:pt>
                <c:pt idx="152">
                  <c:v>575275.37</c:v>
                </c:pt>
                <c:pt idx="153">
                  <c:v>0.0</c:v>
                </c:pt>
                <c:pt idx="154">
                  <c:v>0.0</c:v>
                </c:pt>
                <c:pt idx="155">
                  <c:v>0.0</c:v>
                </c:pt>
                <c:pt idx="156">
                  <c:v>0.0</c:v>
                </c:pt>
                <c:pt idx="157">
                  <c:v>278080.09</c:v>
                </c:pt>
                <c:pt idx="158">
                  <c:v>0.0</c:v>
                </c:pt>
                <c:pt idx="159">
                  <c:v>58448.34</c:v>
                </c:pt>
                <c:pt idx="160">
                  <c:v>145562.18</c:v>
                </c:pt>
                <c:pt idx="161">
                  <c:v>7.15909087E6</c:v>
                </c:pt>
                <c:pt idx="162">
                  <c:v>2.8149032E6</c:v>
                </c:pt>
                <c:pt idx="163">
                  <c:v>13478.79</c:v>
                </c:pt>
                <c:pt idx="164">
                  <c:v>557791.77</c:v>
                </c:pt>
                <c:pt idx="165">
                  <c:v>0.0</c:v>
                </c:pt>
                <c:pt idx="166">
                  <c:v>0.0</c:v>
                </c:pt>
                <c:pt idx="167">
                  <c:v>0.0</c:v>
                </c:pt>
                <c:pt idx="168">
                  <c:v>0.0</c:v>
                </c:pt>
                <c:pt idx="169">
                  <c:v>351895.53</c:v>
                </c:pt>
                <c:pt idx="170">
                  <c:v>0.0</c:v>
                </c:pt>
                <c:pt idx="171">
                  <c:v>60436.0</c:v>
                </c:pt>
                <c:pt idx="172">
                  <c:v>117963.65</c:v>
                </c:pt>
                <c:pt idx="173">
                  <c:v>7.32571011E6</c:v>
                </c:pt>
                <c:pt idx="174">
                  <c:v>3.35071733E6</c:v>
                </c:pt>
                <c:pt idx="175">
                  <c:v>2629.63</c:v>
                </c:pt>
                <c:pt idx="176">
                  <c:v>916048.06</c:v>
                </c:pt>
                <c:pt idx="177">
                  <c:v>0.0</c:v>
                </c:pt>
                <c:pt idx="178">
                  <c:v>0.0</c:v>
                </c:pt>
                <c:pt idx="179">
                  <c:v>0.0</c:v>
                </c:pt>
                <c:pt idx="180">
                  <c:v>0.0</c:v>
                </c:pt>
                <c:pt idx="181">
                  <c:v>318857.49</c:v>
                </c:pt>
                <c:pt idx="182">
                  <c:v>0.0</c:v>
                </c:pt>
                <c:pt idx="183">
                  <c:v>37461.09</c:v>
                </c:pt>
                <c:pt idx="184">
                  <c:v>85560.47</c:v>
                </c:pt>
                <c:pt idx="185">
                  <c:v>7.69030777E6</c:v>
                </c:pt>
                <c:pt idx="186">
                  <c:v>3.1671985E6</c:v>
                </c:pt>
                <c:pt idx="187">
                  <c:v>1314.81</c:v>
                </c:pt>
                <c:pt idx="188">
                  <c:v>621507.5699999999</c:v>
                </c:pt>
                <c:pt idx="189">
                  <c:v>186000.0</c:v>
                </c:pt>
                <c:pt idx="190">
                  <c:v>0.0</c:v>
                </c:pt>
                <c:pt idx="191">
                  <c:v>0.0</c:v>
                </c:pt>
                <c:pt idx="192">
                  <c:v>0.0</c:v>
                </c:pt>
                <c:pt idx="193">
                  <c:v>282694.8</c:v>
                </c:pt>
                <c:pt idx="194">
                  <c:v>0.0</c:v>
                </c:pt>
                <c:pt idx="195">
                  <c:v>182539.34</c:v>
                </c:pt>
                <c:pt idx="196">
                  <c:v>71685.53</c:v>
                </c:pt>
                <c:pt idx="197">
                  <c:v>7.76207696E6</c:v>
                </c:pt>
                <c:pt idx="198">
                  <c:v>2.98545628E6</c:v>
                </c:pt>
                <c:pt idx="199">
                  <c:v>0.0</c:v>
                </c:pt>
                <c:pt idx="200">
                  <c:v>585618.8699999999</c:v>
                </c:pt>
                <c:pt idx="201">
                  <c:v>173600.0</c:v>
                </c:pt>
                <c:pt idx="202">
                  <c:v>0.0</c:v>
                </c:pt>
                <c:pt idx="203">
                  <c:v>0.0</c:v>
                </c:pt>
                <c:pt idx="204">
                  <c:v>0.0</c:v>
                </c:pt>
                <c:pt idx="205">
                  <c:v>249439.9</c:v>
                </c:pt>
                <c:pt idx="206">
                  <c:v>0.0</c:v>
                </c:pt>
                <c:pt idx="207">
                  <c:v>227389.21</c:v>
                </c:pt>
                <c:pt idx="208">
                  <c:v>66009.2</c:v>
                </c:pt>
                <c:pt idx="209">
                  <c:v>8.238146E6</c:v>
                </c:pt>
                <c:pt idx="210">
                  <c:v>3.01089121E6</c:v>
                </c:pt>
                <c:pt idx="211">
                  <c:v>0.0</c:v>
                </c:pt>
                <c:pt idx="212">
                  <c:v>559386.94</c:v>
                </c:pt>
                <c:pt idx="213">
                  <c:v>161200.0</c:v>
                </c:pt>
                <c:pt idx="214">
                  <c:v>0.0</c:v>
                </c:pt>
                <c:pt idx="215">
                  <c:v>0.0</c:v>
                </c:pt>
                <c:pt idx="216">
                  <c:v>0.0</c:v>
                </c:pt>
                <c:pt idx="217">
                  <c:v>136766.84</c:v>
                </c:pt>
                <c:pt idx="218">
                  <c:v>0.0</c:v>
                </c:pt>
                <c:pt idx="219">
                  <c:v>217724.49</c:v>
                </c:pt>
              </c:numCache>
            </c:numRef>
          </c:val>
          <c:smooth val="0"/>
        </c:ser>
        <c:ser>
          <c:idx val="3"/>
          <c:order val="3"/>
          <c:tx>
            <c:strRef>
              <c:f>preteurs_annees!$Q$1</c:f>
              <c:strCache>
                <c:ptCount val="1"/>
                <c:pt idx="0">
                  <c:v>Interet_nets_par_emprunts</c:v>
                </c:pt>
              </c:strCache>
            </c:strRef>
          </c:tx>
          <c:spPr>
            <a:ln w="25400">
              <a:solidFill>
                <a:srgbClr val="008000"/>
              </a:solidFill>
            </a:ln>
          </c:spPr>
          <c:marker>
            <c:symbol val="diamond"/>
            <c:size val="7"/>
            <c:spPr>
              <a:ln>
                <a:solidFill>
                  <a:srgbClr val="008000"/>
                </a:solidFill>
              </a:ln>
            </c:spPr>
          </c:marker>
          <c:val>
            <c:numRef>
              <c:f>preteurs_annees!$Q$2:$Q$221</c:f>
              <c:numCache>
                <c:formatCode>#,##0</c:formatCode>
                <c:ptCount val="220"/>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80371.93321105058</c:v>
                </c:pt>
                <c:pt idx="15">
                  <c:v>0.0</c:v>
                </c:pt>
                <c:pt idx="16">
                  <c:v>0.0</c:v>
                </c:pt>
                <c:pt idx="17">
                  <c:v>0.0</c:v>
                </c:pt>
                <c:pt idx="18">
                  <c:v>0.0</c:v>
                </c:pt>
                <c:pt idx="19">
                  <c:v>0.0</c:v>
                </c:pt>
                <c:pt idx="20">
                  <c:v>0.0</c:v>
                </c:pt>
                <c:pt idx="21">
                  <c:v>0.0</c:v>
                </c:pt>
                <c:pt idx="22">
                  <c:v>0.0</c:v>
                </c:pt>
                <c:pt idx="23">
                  <c:v>0.0</c:v>
                </c:pt>
                <c:pt idx="24">
                  <c:v>838645.5800000001</c:v>
                </c:pt>
                <c:pt idx="25">
                  <c:v>0.0</c:v>
                </c:pt>
                <c:pt idx="26">
                  <c:v>105637.61</c:v>
                </c:pt>
                <c:pt idx="27">
                  <c:v>0.0</c:v>
                </c:pt>
                <c:pt idx="28">
                  <c:v>0.0</c:v>
                </c:pt>
                <c:pt idx="29">
                  <c:v>0.0</c:v>
                </c:pt>
                <c:pt idx="30">
                  <c:v>0.0</c:v>
                </c:pt>
                <c:pt idx="31">
                  <c:v>0.0</c:v>
                </c:pt>
                <c:pt idx="32">
                  <c:v>0.0</c:v>
                </c:pt>
                <c:pt idx="33">
                  <c:v>211666.26</c:v>
                </c:pt>
                <c:pt idx="34">
                  <c:v>0.0</c:v>
                </c:pt>
                <c:pt idx="35">
                  <c:v>500161.92</c:v>
                </c:pt>
                <c:pt idx="36">
                  <c:v>2.4000721E6</c:v>
                </c:pt>
                <c:pt idx="37">
                  <c:v>680519.52</c:v>
                </c:pt>
                <c:pt idx="38">
                  <c:v>106839.48</c:v>
                </c:pt>
                <c:pt idx="39">
                  <c:v>0.0</c:v>
                </c:pt>
                <c:pt idx="40">
                  <c:v>0.0</c:v>
                </c:pt>
                <c:pt idx="41">
                  <c:v>0.0</c:v>
                </c:pt>
                <c:pt idx="42">
                  <c:v>0.0</c:v>
                </c:pt>
                <c:pt idx="43">
                  <c:v>0.0</c:v>
                </c:pt>
                <c:pt idx="44">
                  <c:v>458398.95</c:v>
                </c:pt>
                <c:pt idx="45">
                  <c:v>0.0</c:v>
                </c:pt>
                <c:pt idx="46">
                  <c:v>583328.6800000001</c:v>
                </c:pt>
                <c:pt idx="47">
                  <c:v>3.06258941E6</c:v>
                </c:pt>
                <c:pt idx="48">
                  <c:v>604316.52</c:v>
                </c:pt>
                <c:pt idx="49">
                  <c:v>106839.48</c:v>
                </c:pt>
                <c:pt idx="50">
                  <c:v>0.0</c:v>
                </c:pt>
                <c:pt idx="51">
                  <c:v>0.0</c:v>
                </c:pt>
                <c:pt idx="52">
                  <c:v>0.0</c:v>
                </c:pt>
                <c:pt idx="53">
                  <c:v>0.0</c:v>
                </c:pt>
                <c:pt idx="54">
                  <c:v>0.0</c:v>
                </c:pt>
                <c:pt idx="55">
                  <c:v>434642.39</c:v>
                </c:pt>
                <c:pt idx="56">
                  <c:v>0.0</c:v>
                </c:pt>
                <c:pt idx="57">
                  <c:v>466547.74</c:v>
                </c:pt>
                <c:pt idx="58">
                  <c:v>4.044327E6</c:v>
                </c:pt>
                <c:pt idx="59">
                  <c:v>482621.28</c:v>
                </c:pt>
                <c:pt idx="60">
                  <c:v>99270.26000000001</c:v>
                </c:pt>
                <c:pt idx="61">
                  <c:v>0.0</c:v>
                </c:pt>
                <c:pt idx="62">
                  <c:v>0.0</c:v>
                </c:pt>
                <c:pt idx="63">
                  <c:v>0.0</c:v>
                </c:pt>
                <c:pt idx="64">
                  <c:v>0.0</c:v>
                </c:pt>
                <c:pt idx="65">
                  <c:v>0.0</c:v>
                </c:pt>
                <c:pt idx="66">
                  <c:v>410054.36</c:v>
                </c:pt>
                <c:pt idx="67">
                  <c:v>0.0</c:v>
                </c:pt>
                <c:pt idx="68">
                  <c:v>317868.59</c:v>
                </c:pt>
                <c:pt idx="69">
                  <c:v>4.09157321E6</c:v>
                </c:pt>
                <c:pt idx="70">
                  <c:v>339939.14</c:v>
                </c:pt>
                <c:pt idx="71">
                  <c:v>117943.48</c:v>
                </c:pt>
                <c:pt idx="72">
                  <c:v>0.0</c:v>
                </c:pt>
                <c:pt idx="73">
                  <c:v>0.0</c:v>
                </c:pt>
                <c:pt idx="74">
                  <c:v>0.0</c:v>
                </c:pt>
                <c:pt idx="75">
                  <c:v>0.0</c:v>
                </c:pt>
                <c:pt idx="76">
                  <c:v>0.0</c:v>
                </c:pt>
                <c:pt idx="77">
                  <c:v>281272.55</c:v>
                </c:pt>
                <c:pt idx="78">
                  <c:v>0.0</c:v>
                </c:pt>
                <c:pt idx="79">
                  <c:v>266806.37</c:v>
                </c:pt>
                <c:pt idx="80">
                  <c:v>4.83178602E6</c:v>
                </c:pt>
                <c:pt idx="81">
                  <c:v>784705.29</c:v>
                </c:pt>
                <c:pt idx="82">
                  <c:v>97918.39</c:v>
                </c:pt>
                <c:pt idx="83">
                  <c:v>315984.55</c:v>
                </c:pt>
                <c:pt idx="84">
                  <c:v>0.0</c:v>
                </c:pt>
                <c:pt idx="85">
                  <c:v>0.0</c:v>
                </c:pt>
                <c:pt idx="86">
                  <c:v>0.0</c:v>
                </c:pt>
                <c:pt idx="87">
                  <c:v>0.0</c:v>
                </c:pt>
                <c:pt idx="88">
                  <c:v>706349.08</c:v>
                </c:pt>
                <c:pt idx="89">
                  <c:v>0.0</c:v>
                </c:pt>
                <c:pt idx="90">
                  <c:v>165593.02</c:v>
                </c:pt>
                <c:pt idx="91">
                  <c:v>4.71083777E6</c:v>
                </c:pt>
                <c:pt idx="92">
                  <c:v>502061.36</c:v>
                </c:pt>
                <c:pt idx="93">
                  <c:v>81669.74</c:v>
                </c:pt>
                <c:pt idx="94">
                  <c:v>356413.14</c:v>
                </c:pt>
                <c:pt idx="95">
                  <c:v>0.0</c:v>
                </c:pt>
                <c:pt idx="96">
                  <c:v>0.0</c:v>
                </c:pt>
                <c:pt idx="97">
                  <c:v>0.0</c:v>
                </c:pt>
                <c:pt idx="98">
                  <c:v>0.0</c:v>
                </c:pt>
                <c:pt idx="99">
                  <c:v>719709.3</c:v>
                </c:pt>
                <c:pt idx="100">
                  <c:v>0.0</c:v>
                </c:pt>
                <c:pt idx="101">
                  <c:v>170907.09</c:v>
                </c:pt>
                <c:pt idx="102">
                  <c:v>4.28510205E6</c:v>
                </c:pt>
                <c:pt idx="103">
                  <c:v>655235.5900000001</c:v>
                </c:pt>
                <c:pt idx="104">
                  <c:v>70490.66999999998</c:v>
                </c:pt>
                <c:pt idx="105">
                  <c:v>462543.55</c:v>
                </c:pt>
                <c:pt idx="106">
                  <c:v>0.0</c:v>
                </c:pt>
                <c:pt idx="107">
                  <c:v>0.0</c:v>
                </c:pt>
                <c:pt idx="108">
                  <c:v>0.0</c:v>
                </c:pt>
                <c:pt idx="109">
                  <c:v>0.0</c:v>
                </c:pt>
                <c:pt idx="110">
                  <c:v>511605.29</c:v>
                </c:pt>
                <c:pt idx="111">
                  <c:v>0.0</c:v>
                </c:pt>
                <c:pt idx="112">
                  <c:v>72136.21</c:v>
                </c:pt>
                <c:pt idx="113">
                  <c:v>4.43078476173044E6</c:v>
                </c:pt>
                <c:pt idx="114">
                  <c:v>667551.09</c:v>
                </c:pt>
                <c:pt idx="115">
                  <c:v>47788.62</c:v>
                </c:pt>
                <c:pt idx="116">
                  <c:v>465141.5</c:v>
                </c:pt>
                <c:pt idx="117">
                  <c:v>0.0</c:v>
                </c:pt>
                <c:pt idx="118">
                  <c:v>0.0</c:v>
                </c:pt>
                <c:pt idx="119">
                  <c:v>0.0</c:v>
                </c:pt>
                <c:pt idx="120">
                  <c:v>0.0</c:v>
                </c:pt>
                <c:pt idx="121">
                  <c:v>522982.8</c:v>
                </c:pt>
                <c:pt idx="122">
                  <c:v>0.0</c:v>
                </c:pt>
                <c:pt idx="123">
                  <c:v>0.0</c:v>
                </c:pt>
                <c:pt idx="124">
                  <c:v>36862.0</c:v>
                </c:pt>
                <c:pt idx="125">
                  <c:v>5.31752354E6</c:v>
                </c:pt>
                <c:pt idx="126">
                  <c:v>593114.16</c:v>
                </c:pt>
                <c:pt idx="127">
                  <c:v>29725.62</c:v>
                </c:pt>
                <c:pt idx="128">
                  <c:v>654540.89</c:v>
                </c:pt>
                <c:pt idx="129">
                  <c:v>0.0</c:v>
                </c:pt>
                <c:pt idx="130">
                  <c:v>0.0</c:v>
                </c:pt>
                <c:pt idx="131">
                  <c:v>0.0</c:v>
                </c:pt>
                <c:pt idx="132">
                  <c:v>0.0</c:v>
                </c:pt>
                <c:pt idx="133">
                  <c:v>411596.33</c:v>
                </c:pt>
                <c:pt idx="134">
                  <c:v>0.0</c:v>
                </c:pt>
                <c:pt idx="135">
                  <c:v>144220.16</c:v>
                </c:pt>
                <c:pt idx="136">
                  <c:v>168765.19</c:v>
                </c:pt>
                <c:pt idx="137">
                  <c:v>1.022006795E7</c:v>
                </c:pt>
                <c:pt idx="138">
                  <c:v>1.49815521E6</c:v>
                </c:pt>
                <c:pt idx="139">
                  <c:v>13719.14</c:v>
                </c:pt>
                <c:pt idx="140">
                  <c:v>578080.65</c:v>
                </c:pt>
                <c:pt idx="141">
                  <c:v>0.0</c:v>
                </c:pt>
                <c:pt idx="142">
                  <c:v>0.0</c:v>
                </c:pt>
                <c:pt idx="143">
                  <c:v>0.0</c:v>
                </c:pt>
                <c:pt idx="144">
                  <c:v>0.0</c:v>
                </c:pt>
                <c:pt idx="145">
                  <c:v>265326.86</c:v>
                </c:pt>
                <c:pt idx="146">
                  <c:v>0.0</c:v>
                </c:pt>
                <c:pt idx="147">
                  <c:v>61564.97</c:v>
                </c:pt>
                <c:pt idx="148">
                  <c:v>166842.17</c:v>
                </c:pt>
                <c:pt idx="149">
                  <c:v>5.17743805E6</c:v>
                </c:pt>
                <c:pt idx="150">
                  <c:v>1.97108169E6</c:v>
                </c:pt>
                <c:pt idx="151">
                  <c:v>13719.14</c:v>
                </c:pt>
                <c:pt idx="152">
                  <c:v>575275.37</c:v>
                </c:pt>
                <c:pt idx="153">
                  <c:v>0.0</c:v>
                </c:pt>
                <c:pt idx="154">
                  <c:v>0.0</c:v>
                </c:pt>
                <c:pt idx="155">
                  <c:v>0.0</c:v>
                </c:pt>
                <c:pt idx="156">
                  <c:v>0.0</c:v>
                </c:pt>
                <c:pt idx="157">
                  <c:v>264967.76</c:v>
                </c:pt>
                <c:pt idx="158">
                  <c:v>0.0</c:v>
                </c:pt>
                <c:pt idx="159">
                  <c:v>58448.34</c:v>
                </c:pt>
                <c:pt idx="160">
                  <c:v>145562.18</c:v>
                </c:pt>
                <c:pt idx="161">
                  <c:v>7.15909087E6</c:v>
                </c:pt>
                <c:pt idx="162">
                  <c:v>2.8149032E6</c:v>
                </c:pt>
                <c:pt idx="163">
                  <c:v>13478.79</c:v>
                </c:pt>
                <c:pt idx="164">
                  <c:v>557791.77</c:v>
                </c:pt>
                <c:pt idx="165">
                  <c:v>0.0</c:v>
                </c:pt>
                <c:pt idx="166">
                  <c:v>0.0</c:v>
                </c:pt>
                <c:pt idx="167">
                  <c:v>0.0</c:v>
                </c:pt>
                <c:pt idx="168">
                  <c:v>0.0</c:v>
                </c:pt>
                <c:pt idx="169">
                  <c:v>243488.62</c:v>
                </c:pt>
                <c:pt idx="170">
                  <c:v>0.0</c:v>
                </c:pt>
                <c:pt idx="171">
                  <c:v>60436.0</c:v>
                </c:pt>
                <c:pt idx="172">
                  <c:v>117963.65</c:v>
                </c:pt>
                <c:pt idx="173">
                  <c:v>7.32571011E6</c:v>
                </c:pt>
                <c:pt idx="174">
                  <c:v>3.35071733E6</c:v>
                </c:pt>
                <c:pt idx="175">
                  <c:v>2629.63</c:v>
                </c:pt>
                <c:pt idx="176">
                  <c:v>916048.06</c:v>
                </c:pt>
                <c:pt idx="177">
                  <c:v>0.0</c:v>
                </c:pt>
                <c:pt idx="178">
                  <c:v>0.0</c:v>
                </c:pt>
                <c:pt idx="179">
                  <c:v>0.0</c:v>
                </c:pt>
                <c:pt idx="180">
                  <c:v>0.0</c:v>
                </c:pt>
                <c:pt idx="181">
                  <c:v>318857.49</c:v>
                </c:pt>
                <c:pt idx="182">
                  <c:v>0.0</c:v>
                </c:pt>
                <c:pt idx="183">
                  <c:v>37461.09</c:v>
                </c:pt>
                <c:pt idx="184">
                  <c:v>85560.47</c:v>
                </c:pt>
                <c:pt idx="185">
                  <c:v>7.69030777E6</c:v>
                </c:pt>
                <c:pt idx="186">
                  <c:v>3.1671985E6</c:v>
                </c:pt>
                <c:pt idx="187">
                  <c:v>1314.81</c:v>
                </c:pt>
                <c:pt idx="188">
                  <c:v>621507.5699999999</c:v>
                </c:pt>
                <c:pt idx="189">
                  <c:v>186000.0</c:v>
                </c:pt>
                <c:pt idx="190">
                  <c:v>0.0</c:v>
                </c:pt>
                <c:pt idx="191">
                  <c:v>0.0</c:v>
                </c:pt>
                <c:pt idx="192">
                  <c:v>0.0</c:v>
                </c:pt>
                <c:pt idx="193">
                  <c:v>198340.59</c:v>
                </c:pt>
                <c:pt idx="194">
                  <c:v>0.0</c:v>
                </c:pt>
                <c:pt idx="195">
                  <c:v>182539.34</c:v>
                </c:pt>
                <c:pt idx="196">
                  <c:v>71685.53</c:v>
                </c:pt>
                <c:pt idx="197">
                  <c:v>7.76207696E6</c:v>
                </c:pt>
                <c:pt idx="198">
                  <c:v>2.98545628E6</c:v>
                </c:pt>
                <c:pt idx="199">
                  <c:v>0.0</c:v>
                </c:pt>
                <c:pt idx="200">
                  <c:v>585618.8699999999</c:v>
                </c:pt>
                <c:pt idx="201">
                  <c:v>173600.0</c:v>
                </c:pt>
                <c:pt idx="202">
                  <c:v>0.0</c:v>
                </c:pt>
                <c:pt idx="203">
                  <c:v>0.0</c:v>
                </c:pt>
                <c:pt idx="204">
                  <c:v>0.0</c:v>
                </c:pt>
                <c:pt idx="205">
                  <c:v>320564.42</c:v>
                </c:pt>
                <c:pt idx="206">
                  <c:v>0.0</c:v>
                </c:pt>
                <c:pt idx="207">
                  <c:v>227389.21</c:v>
                </c:pt>
                <c:pt idx="208">
                  <c:v>66009.2</c:v>
                </c:pt>
                <c:pt idx="209">
                  <c:v>8.238146E6</c:v>
                </c:pt>
                <c:pt idx="210">
                  <c:v>3.01089121E6</c:v>
                </c:pt>
                <c:pt idx="211">
                  <c:v>0.0</c:v>
                </c:pt>
                <c:pt idx="212">
                  <c:v>559386.94</c:v>
                </c:pt>
                <c:pt idx="213">
                  <c:v>161200.0</c:v>
                </c:pt>
                <c:pt idx="214">
                  <c:v>0.0</c:v>
                </c:pt>
                <c:pt idx="215">
                  <c:v>0.0</c:v>
                </c:pt>
                <c:pt idx="216">
                  <c:v>0.0</c:v>
                </c:pt>
                <c:pt idx="217">
                  <c:v>136766.84</c:v>
                </c:pt>
                <c:pt idx="218">
                  <c:v>0.0</c:v>
                </c:pt>
                <c:pt idx="219">
                  <c:v>217724.49</c:v>
                </c:pt>
              </c:numCache>
            </c:numRef>
          </c:val>
          <c:smooth val="0"/>
        </c:ser>
        <c:dLbls>
          <c:showLegendKey val="0"/>
          <c:showVal val="0"/>
          <c:showCatName val="0"/>
          <c:showSerName val="0"/>
          <c:showPercent val="0"/>
          <c:showBubbleSize val="0"/>
        </c:dLbls>
        <c:marker val="1"/>
        <c:smooth val="0"/>
        <c:axId val="1578323336"/>
        <c:axId val="1578390296"/>
      </c:lineChart>
      <c:catAx>
        <c:axId val="1578889048"/>
        <c:scaling>
          <c:orientation val="minMax"/>
        </c:scaling>
        <c:delete val="0"/>
        <c:axPos val="b"/>
        <c:numFmt formatCode="General" sourceLinked="1"/>
        <c:majorTickMark val="out"/>
        <c:minorTickMark val="none"/>
        <c:tickLblPos val="nextTo"/>
        <c:crossAx val="1578437144"/>
        <c:crosses val="autoZero"/>
        <c:auto val="1"/>
        <c:lblAlgn val="ctr"/>
        <c:lblOffset val="100"/>
        <c:noMultiLvlLbl val="0"/>
      </c:catAx>
      <c:valAx>
        <c:axId val="1578437144"/>
        <c:scaling>
          <c:orientation val="minMax"/>
        </c:scaling>
        <c:delete val="0"/>
        <c:axPos val="l"/>
        <c:majorGridlines/>
        <c:numFmt formatCode="#,##0" sourceLinked="1"/>
        <c:majorTickMark val="out"/>
        <c:minorTickMark val="none"/>
        <c:tickLblPos val="nextTo"/>
        <c:crossAx val="1578889048"/>
        <c:crosses val="autoZero"/>
        <c:crossBetween val="between"/>
      </c:valAx>
      <c:valAx>
        <c:axId val="1578390296"/>
        <c:scaling>
          <c:orientation val="minMax"/>
        </c:scaling>
        <c:delete val="0"/>
        <c:axPos val="r"/>
        <c:numFmt formatCode="#,##0" sourceLinked="1"/>
        <c:majorTickMark val="out"/>
        <c:minorTickMark val="none"/>
        <c:tickLblPos val="nextTo"/>
        <c:txPr>
          <a:bodyPr/>
          <a:lstStyle/>
          <a:p>
            <a:pPr>
              <a:defRPr>
                <a:solidFill>
                  <a:srgbClr val="008000"/>
                </a:solidFill>
              </a:defRPr>
            </a:pPr>
            <a:endParaRPr lang="fr-FR"/>
          </a:p>
        </c:txPr>
        <c:crossAx val="1578323336"/>
        <c:crosses val="max"/>
        <c:crossBetween val="between"/>
      </c:valAx>
      <c:catAx>
        <c:axId val="1578323336"/>
        <c:scaling>
          <c:orientation val="minMax"/>
        </c:scaling>
        <c:delete val="1"/>
        <c:axPos val="b"/>
        <c:numFmt formatCode="General" sourceLinked="1"/>
        <c:majorTickMark val="out"/>
        <c:minorTickMark val="none"/>
        <c:tickLblPos val="nextTo"/>
        <c:crossAx val="1578390296"/>
        <c:crosses val="autoZero"/>
        <c:auto val="1"/>
        <c:lblAlgn val="ctr"/>
        <c:lblOffset val="100"/>
        <c:noMultiLvlLbl val="0"/>
      </c:catAx>
    </c:plotArea>
    <c:legend>
      <c:legendPos val="r"/>
      <c:layout>
        <c:manualLayout>
          <c:xMode val="edge"/>
          <c:yMode val="edge"/>
          <c:x val="0.244365571544936"/>
          <c:y val="0.0472128876072763"/>
          <c:w val="0.210820309530274"/>
          <c:h val="0.181790287181441"/>
        </c:manualLayout>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codeName="Graph1"/>
  <sheetViews>
    <sheetView zoomScale="126" workbookViewId="0" zoomToFit="1"/>
  </sheetViews>
  <pageMargins left="0.75" right="0.75" top="1" bottom="1" header="0.5" footer="0.5"/>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63500</xdr:colOff>
      <xdr:row>25</xdr:row>
      <xdr:rowOff>82550</xdr:rowOff>
    </xdr:from>
    <xdr:to>
      <xdr:col>7</xdr:col>
      <xdr:colOff>0</xdr:colOff>
      <xdr:row>49</xdr:row>
      <xdr:rowOff>63500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25400</xdr:colOff>
      <xdr:row>26</xdr:row>
      <xdr:rowOff>101600</xdr:rowOff>
    </xdr:from>
    <xdr:to>
      <xdr:col>23</xdr:col>
      <xdr:colOff>165100</xdr:colOff>
      <xdr:row>50</xdr:row>
      <xdr:rowOff>82550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0</xdr:colOff>
      <xdr:row>25</xdr:row>
      <xdr:rowOff>38100</xdr:rowOff>
    </xdr:from>
    <xdr:to>
      <xdr:col>38</xdr:col>
      <xdr:colOff>635000</xdr:colOff>
      <xdr:row>49</xdr:row>
      <xdr:rowOff>19050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82550</xdr:colOff>
      <xdr:row>24</xdr:row>
      <xdr:rowOff>76200</xdr:rowOff>
    </xdr:from>
    <xdr:to>
      <xdr:col>8</xdr:col>
      <xdr:colOff>774700</xdr:colOff>
      <xdr:row>40</xdr:row>
      <xdr:rowOff>88900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25400</xdr:colOff>
      <xdr:row>19</xdr:row>
      <xdr:rowOff>228600</xdr:rowOff>
    </xdr:from>
    <xdr:to>
      <xdr:col>0</xdr:col>
      <xdr:colOff>7097219</xdr:colOff>
      <xdr:row>19</xdr:row>
      <xdr:rowOff>4140200</xdr:rowOff>
    </xdr:to>
    <xdr:pic>
      <xdr:nvPicPr>
        <xdr:cNvPr id="3" name="Image 2" descr="graphique_1_courrie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 y="6515100"/>
          <a:ext cx="7071819" cy="3911600"/>
        </a:xfrm>
        <a:prstGeom prst="rect">
          <a:avLst/>
        </a:prstGeom>
      </xdr:spPr>
    </xdr:pic>
    <xdr:clientData/>
  </xdr:twoCellAnchor>
  <xdr:twoCellAnchor editAs="oneCell">
    <xdr:from>
      <xdr:col>0</xdr:col>
      <xdr:colOff>0</xdr:colOff>
      <xdr:row>25</xdr:row>
      <xdr:rowOff>183088</xdr:rowOff>
    </xdr:from>
    <xdr:to>
      <xdr:col>0</xdr:col>
      <xdr:colOff>7137400</xdr:colOff>
      <xdr:row>25</xdr:row>
      <xdr:rowOff>4470400</xdr:rowOff>
    </xdr:to>
    <xdr:pic>
      <xdr:nvPicPr>
        <xdr:cNvPr id="5" name="Image 4" descr="graphique_2_courri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2794188"/>
          <a:ext cx="7137400" cy="4287312"/>
        </a:xfrm>
        <a:prstGeom prst="rect">
          <a:avLst/>
        </a:prstGeom>
      </xdr:spPr>
    </xdr:pic>
    <xdr:clientData/>
  </xdr:twoCellAnchor>
  <xdr:twoCellAnchor editAs="oneCell">
    <xdr:from>
      <xdr:col>0</xdr:col>
      <xdr:colOff>76200</xdr:colOff>
      <xdr:row>60</xdr:row>
      <xdr:rowOff>38100</xdr:rowOff>
    </xdr:from>
    <xdr:to>
      <xdr:col>0</xdr:col>
      <xdr:colOff>7035800</xdr:colOff>
      <xdr:row>63</xdr:row>
      <xdr:rowOff>29391</xdr:rowOff>
    </xdr:to>
    <xdr:pic>
      <xdr:nvPicPr>
        <xdr:cNvPr id="6" name="Image 5" descr="graphique_3_courrie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 y="27533600"/>
          <a:ext cx="6959600" cy="38774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42333</xdr:colOff>
      <xdr:row>6</xdr:row>
      <xdr:rowOff>124178</xdr:rowOff>
    </xdr:from>
    <xdr:to>
      <xdr:col>19</xdr:col>
      <xdr:colOff>70555</xdr:colOff>
      <xdr:row>10</xdr:row>
      <xdr:rowOff>42333</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212540" cy="56142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F. Lefebvre-Naré" refreshedDate="43604.911589467592" createdVersion="4" refreshedVersion="4" minRefreshableVersion="3" recordCount="1366">
  <cacheSource type="worksheet">
    <worksheetSource ref="A1:X1367" sheet="emprunts_annees"/>
  </cacheSource>
  <cacheFields count="24">
    <cacheField name="Ref_6_chiffres" numFmtId="0">
      <sharedItems count="159">
        <s v="vx_CDC"/>
        <s v="vx_Dexia CL"/>
        <s v="vx_Caisse d'Épargne"/>
        <s v="vx_Crédit Mutuel"/>
        <s v="vx_Société générale"/>
        <s v="vx_Crédit Foncier"/>
        <s v="vx_Auxifip CEPME"/>
        <s v="vx_Natixis"/>
        <s v="vx_Krebitbank BW"/>
        <s v="vx_Deutsche Hypothekenbank"/>
        <s v="vx_Rheinboden Hypothekenbank"/>
        <s v="vx_Crédit Agricole"/>
        <s v="000780"/>
        <s v="000769"/>
        <s v="000810"/>
        <s v="CE zzz"/>
        <s v="000783"/>
        <s v="000793-000794"/>
        <s v="000786"/>
        <s v="000787"/>
        <s v="000785"/>
        <s v="000790"/>
        <s v="000788"/>
        <s v="000789"/>
        <s v="000792"/>
        <s v="000791"/>
        <s v="000795"/>
        <s v="000797"/>
        <s v="000796"/>
        <s v="000799"/>
        <s v="000809"/>
        <s v="000800"/>
        <s v="000801"/>
        <s v="000802"/>
        <s v="000798"/>
        <s v="000804"/>
        <s v="000805"/>
        <s v="000806"/>
        <s v="000811"/>
        <s v="000814"/>
        <s v="000812"/>
        <s v="000813"/>
        <s v="000815"/>
        <s v="000803"/>
        <s v="000816"/>
        <s v="000817"/>
        <s v="000818"/>
        <s v="000821"/>
        <s v="000819"/>
        <s v="000824"/>
        <s v="000820"/>
        <s v="000822"/>
        <s v="000827"/>
        <s v="000828"/>
        <s v="000823"/>
        <s v="000826"/>
        <s v="000825"/>
        <s v="000834"/>
        <s v="000835"/>
        <s v="000833"/>
        <s v="SWAP 143"/>
        <s v="000839"/>
        <s v="000842"/>
        <s v="000841"/>
        <s v="000840"/>
        <s v="000836"/>
        <s v="000838"/>
        <s v="000845"/>
        <s v="000837"/>
        <s v="000844"/>
        <s v="000844-T2"/>
        <s v="000844-T1"/>
        <s v="000846"/>
        <s v="000849"/>
        <s v="000847"/>
        <s v="000848"/>
        <s v="000851"/>
        <s v="000852"/>
        <s v="000855"/>
        <s v="000844-T3"/>
        <s v="000854"/>
        <s v="000856"/>
        <s v="000853"/>
        <s v="000880"/>
        <s v="000882"/>
        <s v="000850"/>
        <s v="000857"/>
        <s v="000859"/>
        <s v="000860"/>
        <s v="000898"/>
        <s v="000862"/>
        <s v="000861"/>
        <s v="000858"/>
        <s v="000863"/>
        <s v="000868"/>
        <s v="000866"/>
        <s v="000867 Kommunal"/>
        <s v="000869"/>
        <s v="000865"/>
        <s v="000845-Refi"/>
        <s v="000876"/>
        <s v="000864"/>
        <s v="000879"/>
        <s v="000870"/>
        <s v="000871"/>
        <s v="000872"/>
        <s v="000878"/>
        <s v="000873"/>
        <s v="000874"/>
        <s v="000877"/>
        <s v="000875"/>
        <s v="000883"/>
        <s v="000884"/>
        <s v="000885"/>
        <s v="000887"/>
        <s v="000886"/>
        <s v="000888"/>
        <s v="000867 - Dexia CLF"/>
        <s v="000889"/>
        <s v="000891"/>
        <s v="000881"/>
        <s v="000890"/>
        <s v="000894"/>
        <s v="000892"/>
        <s v="000893"/>
        <s v="000895"/>
        <s v="000897"/>
        <s v="000900"/>
        <s v="000899"/>
        <s v="000905"/>
        <s v="000896"/>
        <s v="000901"/>
        <s v="000903"/>
        <s v="000913"/>
        <s v="000906"/>
        <s v="000908"/>
        <s v="000907"/>
        <s v="000914"/>
        <s v="000902"/>
        <s v="000911"/>
        <s v="000912"/>
        <s v="000904"/>
        <s v="000909"/>
        <s v="000910"/>
        <s v="000915"/>
        <s v="000916"/>
        <s v="000928"/>
        <s v="000917"/>
        <s v="000918"/>
        <s v="000919"/>
        <s v="000920"/>
        <s v="000921"/>
        <s v="000922"/>
        <s v="000923"/>
        <s v="000924"/>
        <s v="000925"/>
        <s v="000926"/>
        <s v="000927"/>
        <s v="000929"/>
      </sharedItems>
    </cacheField>
    <cacheField name="Preteur" numFmtId="0">
      <sharedItems/>
    </cacheField>
    <cacheField name="Date_debut_recalculee" numFmtId="0">
      <sharedItems containsNonDate="0" containsDate="1" containsString="0" containsBlank="1" minDate="1999-12-01T00:00:00" maxDate="2018-02-26T00:00:00"/>
    </cacheField>
    <cacheField name="Date_fin" numFmtId="0">
      <sharedItems containsNonDate="0" containsDate="1" containsString="0" containsBlank="1" minDate="2002-10-01T00:00:00" maxDate="2040-12-02T00:00:00"/>
    </cacheField>
    <cacheField name="Duree_initiale" numFmtId="2">
      <sharedItems containsString="0" containsBlank="1" containsNumber="1" minValue="0.08" maxValue="26.42"/>
    </cacheField>
    <cacheField name="Risque_Riskedge" numFmtId="0">
      <sharedItems containsBlank="1"/>
    </cacheField>
    <cacheField name="Catégorie" numFmtId="1">
      <sharedItems/>
    </cacheField>
    <cacheField name="Année" numFmtId="0">
      <sharedItems containsSemiMixedTypes="0" containsString="0" containsNumber="1" containsInteger="1" minValue="2000" maxValue="2018" count="19">
        <n v="2000"/>
        <n v="2001"/>
        <n v="2002"/>
        <n v="2003"/>
        <n v="2004"/>
        <n v="2005"/>
        <n v="2006"/>
        <n v="2007"/>
        <n v="2008"/>
        <n v="2009"/>
        <n v="2010"/>
        <n v="2011"/>
        <n v="2012"/>
        <n v="2013"/>
        <n v="2014"/>
        <n v="2015"/>
        <n v="2016"/>
        <n v="2017"/>
        <n v="2018"/>
      </sharedItems>
    </cacheField>
    <cacheField name="Signé" numFmtId="0">
      <sharedItems containsString="0" containsBlank="1" containsNumber="1" containsInteger="1" minValue="0" maxValue="1"/>
    </cacheField>
    <cacheField name="Marge_pc" numFmtId="0">
      <sharedItems containsString="0" containsBlank="1" containsNumber="1" minValue="-2E-3" maxValue="1.2E-2"/>
    </cacheField>
    <cacheField name="Période" numFmtId="0">
      <sharedItems containsBlank="1"/>
    </cacheField>
    <cacheField name="Date_1ere_annee_interet" numFmtId="0">
      <sharedItems containsNonDate="0" containsDate="1" containsString="0" containsBlank="1" minDate="2000-11-30T00:00:00" maxDate="2010-11-26T00:00:00"/>
    </cacheField>
    <cacheField name="Date_1ere_annee_amort" numFmtId="0">
      <sharedItems containsNonDate="0" containsDate="1" containsString="0" containsBlank="1" minDate="2000-11-30T00:00:00" maxDate="2010-11-26T00:00:00"/>
    </cacheField>
    <cacheField name="Capital" numFmtId="0">
      <sharedItems containsString="0" containsBlank="1" containsNumber="1" minValue="0" maxValue="128964467.3"/>
    </cacheField>
    <cacheField name="Encours_31_dec" numFmtId="0">
      <sharedItems containsString="0" containsBlank="1" containsNumber="1" minValue="-4000000.25" maxValue="83626981.410581887"/>
    </cacheField>
    <cacheField name="Taux_actuariel_pc" numFmtId="0">
      <sharedItems containsString="0" containsBlank="1" containsNumber="1" minValue="0" maxValue="0.1739"/>
    </cacheField>
    <cacheField name="Intérêt" numFmtId="0">
      <sharedItems containsString="0" containsBlank="1" containsNumber="1" minValue="-50466.7717304416" maxValue="4147119.6899999995"/>
    </cacheField>
    <cacheField name="Amort" numFmtId="0">
      <sharedItems containsString="0" containsBlank="1" containsNumber="1" minValue="-3378138.82" maxValue="13267117.030000001"/>
    </cacheField>
    <cacheField name="Frais" numFmtId="0">
      <sharedItems containsString="0" containsBlank="1" containsNumber="1" minValue="-108406.91" maxValue="615427.37999999907"/>
    </cacheField>
    <cacheField name="ICNE" numFmtId="0">
      <sharedItems containsString="0" containsBlank="1" containsNumber="1" minValue="0" maxValue="2322178.4840292926"/>
    </cacheField>
    <cacheField name="Annuité" numFmtId="0">
      <sharedItems containsString="0" containsBlank="1" containsNumber="1" minValue="-3319002.5" maxValue="14584679.870000001"/>
    </cacheField>
    <cacheField name="Vérif annuité" numFmtId="0">
      <sharedItems containsBlank="1" containsMixedTypes="1" containsNumber="1" minValue="-1.524722611065954E-3" maxValue="290030.91999999993"/>
    </cacheField>
    <cacheField name="Surcout_capital_estimé" numFmtId="0">
      <sharedItems containsString="0" containsBlank="1" containsNumber="1" minValue="-2500042" maxValue="3691337.91"/>
    </cacheField>
    <cacheField name="Refinancement" numFmtId="0">
      <sharedItems containsString="0" containsBlank="1" containsNumber="1" minValue="0" maxValue="1717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F. Lefebvre-Naré" refreshedDate="43604.91672951389" createdVersion="4" refreshedVersion="4" minRefreshableVersion="3" recordCount="114">
  <cacheSource type="worksheet">
    <worksheetSource ref="A1:J115" sheet="categories_annees"/>
  </cacheSource>
  <cacheFields count="10">
    <cacheField name="Annee" numFmtId="0">
      <sharedItems containsSemiMixedTypes="0" containsString="0" containsNumber="1" containsInteger="1" minValue="2000" maxValue="2018" count="19">
        <n v="2000"/>
        <n v="2001"/>
        <n v="2002"/>
        <n v="2003"/>
        <n v="2004"/>
        <n v="2005"/>
        <n v="2006"/>
        <n v="2007"/>
        <n v="2008"/>
        <n v="2009"/>
        <n v="2010"/>
        <n v="2011"/>
        <n v="2012"/>
        <n v="2013"/>
        <n v="2014"/>
        <n v="2015"/>
        <n v="2016"/>
        <n v="2017"/>
        <n v="2018"/>
      </sharedItems>
    </cacheField>
    <cacheField name="Preteur" numFmtId="0">
      <sharedItems count="7">
        <s v="vx"/>
        <s v="Livr_A"/>
        <s v="Non_st"/>
        <s v="Restr_aidé"/>
        <s v="Restr_sec"/>
        <s v="Struct"/>
        <s v="Restr" u="1"/>
      </sharedItems>
    </cacheField>
    <cacheField name="Encours_fin_par_emprunts" numFmtId="3">
      <sharedItems containsSemiMixedTypes="0" containsString="0" containsNumber="1" minValue="-3309407.3700000076" maxValue="203263953.67000002"/>
    </cacheField>
    <cacheField name="Blanc" numFmtId="3">
      <sharedItems containsNonDate="0" containsString="0" containsBlank="1"/>
    </cacheField>
    <cacheField name="Interet_nets_par_emprunts" numFmtId="3">
      <sharedItems containsSemiMixedTypes="0" containsString="0" containsNumber="1" minValue="-50466.57173044153" maxValue="10853915.07"/>
    </cacheField>
    <cacheField name="Amortissement_par_emprunts" numFmtId="3">
      <sharedItems containsSemiMixedTypes="0" containsString="0" containsNumber="1" minValue="-2261695.4499999997" maxValue="22027617.800000001"/>
    </cacheField>
    <cacheField name="Frais_par_emprunts" numFmtId="3">
      <sharedItems containsSemiMixedTypes="0" containsString="0" containsNumber="1" minValue="-108406.91" maxValue="71124.52"/>
    </cacheField>
    <cacheField name="ICNE_par_emprunts" numFmtId="3">
      <sharedItems containsSemiMixedTypes="0" containsString="0" containsNumber="1" minValue="0" maxValue="6306533.4400000013"/>
    </cacheField>
    <cacheField name="Encours_moyen_par_emprunts" numFmtId="3">
      <sharedItems containsSemiMixedTypes="0" containsString="0" containsNumber="1" minValue="0" maxValue="212527017.55072603"/>
    </cacheField>
    <cacheField name="Taux par catégorie" numFmtId="10">
      <sharedItems containsMixedTypes="1" containsNumber="1" minValue="-46728.307144518723" maxValue="0.1445945515410384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66">
  <r>
    <x v="0"/>
    <s v="CDC"/>
    <m/>
    <m/>
    <m/>
    <m/>
    <s v="vx"/>
    <x v="0"/>
    <m/>
    <m/>
    <m/>
    <m/>
    <m/>
    <m/>
    <n v="41424395.856108882"/>
    <m/>
    <n v="2273716.9062768258"/>
    <n v="3323192.7493340774"/>
    <n v="0"/>
    <n v="344376.30154134211"/>
    <n v="5596909.6556109032"/>
    <m/>
    <m/>
    <m/>
  </r>
  <r>
    <x v="1"/>
    <s v="Dexia CL"/>
    <m/>
    <m/>
    <m/>
    <m/>
    <s v="vx"/>
    <x v="0"/>
    <m/>
    <m/>
    <m/>
    <m/>
    <m/>
    <m/>
    <n v="83626981.410581887"/>
    <m/>
    <n v="3743615.4161654143"/>
    <n v="4821186.0573265208"/>
    <n v="0"/>
    <n v="1893881.8355220726"/>
    <n v="8564801.4734919351"/>
    <m/>
    <m/>
    <m/>
  </r>
  <r>
    <x v="2"/>
    <s v="Caisse d'Épargne"/>
    <m/>
    <m/>
    <m/>
    <m/>
    <s v="vx"/>
    <x v="0"/>
    <m/>
    <m/>
    <m/>
    <m/>
    <m/>
    <m/>
    <n v="18967735.387439642"/>
    <m/>
    <n v="615054.39600400697"/>
    <n v="1727355.0255619746"/>
    <n v="0"/>
    <n v="310496.06240384717"/>
    <n v="2342409.4215659816"/>
    <m/>
    <m/>
    <m/>
  </r>
  <r>
    <x v="3"/>
    <s v="Crédit Mutuel"/>
    <m/>
    <m/>
    <m/>
    <m/>
    <s v="vx"/>
    <x v="0"/>
    <m/>
    <m/>
    <m/>
    <m/>
    <m/>
    <m/>
    <n v="5508136.1882239571"/>
    <m/>
    <n v="246943.42364265383"/>
    <n v="314133.30192404747"/>
    <n v="0"/>
    <n v="7166.8000798954654"/>
    <n v="561076.72556670127"/>
    <m/>
    <m/>
    <m/>
  </r>
  <r>
    <x v="4"/>
    <s v="Société générale"/>
    <m/>
    <m/>
    <m/>
    <m/>
    <s v="vx"/>
    <x v="0"/>
    <m/>
    <m/>
    <m/>
    <m/>
    <m/>
    <m/>
    <n v="3087492.996186669"/>
    <m/>
    <n v="326653.26435488224"/>
    <n v="279888.07316228998"/>
    <n v="0"/>
    <n v="108560.86768914566"/>
    <n v="606541.33751717221"/>
    <m/>
    <m/>
    <m/>
  </r>
  <r>
    <x v="5"/>
    <s v="Crédit Foncier"/>
    <m/>
    <m/>
    <m/>
    <m/>
    <s v="vx"/>
    <x v="0"/>
    <m/>
    <m/>
    <m/>
    <m/>
    <m/>
    <m/>
    <n v="4346255.4093346568"/>
    <m/>
    <n v="371592.73286707321"/>
    <n v="374289.14382251009"/>
    <n v="0"/>
    <n v="0"/>
    <n v="745881.8766895833"/>
    <m/>
    <m/>
    <m/>
  </r>
  <r>
    <x v="6"/>
    <s v="Auxifip CEPME"/>
    <m/>
    <m/>
    <m/>
    <m/>
    <s v="vx"/>
    <x v="0"/>
    <m/>
    <m/>
    <m/>
    <m/>
    <m/>
    <m/>
    <n v="4103476.8295527841"/>
    <m/>
    <n v="379529.15803292487"/>
    <n v="323641.40048821614"/>
    <n v="0"/>
    <n v="0"/>
    <n v="703170.55852114107"/>
    <m/>
    <m/>
    <m/>
  </r>
  <r>
    <x v="7"/>
    <s v="Natixis"/>
    <m/>
    <m/>
    <m/>
    <m/>
    <s v="vx"/>
    <x v="0"/>
    <m/>
    <m/>
    <m/>
    <m/>
    <m/>
    <m/>
    <n v="7377738.8470352534"/>
    <m/>
    <n v="429892.4292948005"/>
    <n v="643493.98420692317"/>
    <n v="-9.1483356896787882E-2"/>
    <n v="118010.71727525971"/>
    <n v="1073386.3220183668"/>
    <m/>
    <m/>
    <m/>
  </r>
  <r>
    <x v="8"/>
    <s v="Krebitbank BW"/>
    <m/>
    <m/>
    <m/>
    <m/>
    <s v="vx"/>
    <x v="0"/>
    <m/>
    <m/>
    <m/>
    <m/>
    <m/>
    <m/>
    <n v="6982527.021896542"/>
    <m/>
    <n v="540542.84394311567"/>
    <n v="636202.89331363398"/>
    <n v="0"/>
    <n v="0"/>
    <n v="1176745.7372567495"/>
    <m/>
    <m/>
    <m/>
  </r>
  <r>
    <x v="9"/>
    <s v="Deutsche Hypothekenbank"/>
    <m/>
    <m/>
    <m/>
    <m/>
    <s v="vx"/>
    <x v="0"/>
    <m/>
    <m/>
    <m/>
    <m/>
    <m/>
    <m/>
    <n v="3011786.7157017458"/>
    <m/>
    <n v="271906.52840481995"/>
    <n v="187113.04445938673"/>
    <n v="0"/>
    <n v="0"/>
    <n v="459019.57286420668"/>
    <m/>
    <m/>
    <m/>
  </r>
  <r>
    <x v="10"/>
    <s v="Rheinboden Hypothekenbank"/>
    <m/>
    <m/>
    <m/>
    <m/>
    <s v="vx"/>
    <x v="0"/>
    <m/>
    <m/>
    <m/>
    <m/>
    <m/>
    <m/>
    <n v="7448117.5012235902"/>
    <m/>
    <n v="425965.05030822271"/>
    <n v="645720.02738401818"/>
    <n v="0"/>
    <n v="53399.625223181276"/>
    <n v="1071685.0776922409"/>
    <m/>
    <m/>
    <m/>
  </r>
  <r>
    <x v="0"/>
    <s v="CDC"/>
    <m/>
    <m/>
    <m/>
    <m/>
    <s v="vx"/>
    <x v="1"/>
    <m/>
    <m/>
    <m/>
    <m/>
    <m/>
    <m/>
    <n v="38138161.405611284"/>
    <m/>
    <n v="2110113.064280781"/>
    <n v="3301649.3839358278"/>
    <n v="0"/>
    <n v="494309.82668478042"/>
    <n v="5411762.4482166087"/>
    <m/>
    <m/>
    <m/>
  </r>
  <r>
    <x v="1"/>
    <s v="Dexia CL"/>
    <m/>
    <m/>
    <m/>
    <m/>
    <s v="vx"/>
    <x v="1"/>
    <m/>
    <m/>
    <m/>
    <m/>
    <m/>
    <m/>
    <n v="82358354.946276397"/>
    <m/>
    <n v="4100886.3166818377"/>
    <n v="5656870.9444284346"/>
    <n v="57808.16245004721"/>
    <n v="2322178.4840292926"/>
    <n v="9815565.4235603195"/>
    <m/>
    <m/>
    <m/>
  </r>
  <r>
    <x v="2"/>
    <s v="Caisse d'Épargne"/>
    <m/>
    <m/>
    <m/>
    <m/>
    <s v="vx"/>
    <x v="1"/>
    <m/>
    <m/>
    <m/>
    <m/>
    <m/>
    <m/>
    <n v="16796934.625993166"/>
    <m/>
    <n v="1065276.4810011939"/>
    <n v="2170800.7568723061"/>
    <n v="-1.5247231349349022E-3"/>
    <n v="201786.35281776363"/>
    <n v="3236077.2363487771"/>
    <m/>
    <m/>
    <m/>
  </r>
  <r>
    <x v="3"/>
    <s v="Crédit Mutuel"/>
    <m/>
    <m/>
    <m/>
    <m/>
    <s v="vx"/>
    <x v="1"/>
    <m/>
    <m/>
    <m/>
    <m/>
    <m/>
    <m/>
    <n v="3194988.7246762635"/>
    <m/>
    <n v="212222.36249670276"/>
    <n v="252501.6139188878"/>
    <n v="-1.0673058219254017E-2"/>
    <n v="0"/>
    <n v="464723.96574253234"/>
    <m/>
    <m/>
    <m/>
  </r>
  <r>
    <x v="4"/>
    <s v="Société générale"/>
    <m/>
    <m/>
    <m/>
    <m/>
    <s v="vx"/>
    <x v="1"/>
    <m/>
    <m/>
    <m/>
    <m/>
    <m/>
    <m/>
    <n v="2723459.8182225698"/>
    <m/>
    <n v="195747.06071597926"/>
    <n v="364033.17643937626"/>
    <n v="1.5247225528582931E-3"/>
    <n v="99342.86437439869"/>
    <n v="559780.23868007807"/>
    <m/>
    <m/>
    <m/>
  </r>
  <r>
    <x v="5"/>
    <s v="Crédit Foncier"/>
    <m/>
    <m/>
    <m/>
    <m/>
    <s v="vx"/>
    <x v="1"/>
    <m/>
    <m/>
    <m/>
    <m/>
    <m/>
    <m/>
    <n v="3940191.6576326853"/>
    <m/>
    <n v="345331.58600121672"/>
    <n v="406063.75475141685"/>
    <n v="-1.5247225528582931E-3"/>
    <n v="0"/>
    <n v="751395.33922791097"/>
    <m/>
    <m/>
    <m/>
  </r>
  <r>
    <x v="6"/>
    <s v="Auxifip CEPME"/>
    <m/>
    <m/>
    <m/>
    <m/>
    <s v="vx"/>
    <x v="1"/>
    <m/>
    <m/>
    <m/>
    <m/>
    <m/>
    <m/>
    <n v="3743948.0206813379"/>
    <m/>
    <n v="351073.91092875425"/>
    <n v="352096.64606766414"/>
    <n v="0"/>
    <n v="0"/>
    <n v="703170.5569964184"/>
    <m/>
    <m/>
    <m/>
  </r>
  <r>
    <x v="7"/>
    <s v="Natixis"/>
    <m/>
    <m/>
    <m/>
    <m/>
    <s v="vx"/>
    <x v="1"/>
    <m/>
    <m/>
    <m/>
    <m/>
    <m/>
    <m/>
    <n v="4612285.9083611211"/>
    <m/>
    <n v="474372.24882863188"/>
    <n v="2765452.9203774603"/>
    <n v="9.148335549980402E-3"/>
    <n v="97133.338517390235"/>
    <n v="3239825.1783544277"/>
    <m/>
    <m/>
    <m/>
  </r>
  <r>
    <x v="8"/>
    <s v="Krebitbank BW"/>
    <m/>
    <m/>
    <m/>
    <m/>
    <s v="vx"/>
    <x v="1"/>
    <m/>
    <m/>
    <m/>
    <m/>
    <m/>
    <m/>
    <n v="6318770.5399195254"/>
    <m/>
    <n v="495237.83843124338"/>
    <n v="663756.46977923531"/>
    <n v="0"/>
    <n v="0"/>
    <n v="1158994.3082104786"/>
    <m/>
    <m/>
    <m/>
  </r>
  <r>
    <x v="9"/>
    <s v="Deutsche Hypothekenbank"/>
    <m/>
    <m/>
    <m/>
    <m/>
    <s v="vx"/>
    <x v="1"/>
    <m/>
    <m/>
    <m/>
    <m/>
    <m/>
    <m/>
    <n v="2808769.1341252746"/>
    <m/>
    <n v="256001.99738662544"/>
    <n v="203017.5800517491"/>
    <n v="0"/>
    <n v="0"/>
    <n v="459019.57743837452"/>
    <m/>
    <m/>
    <m/>
  </r>
  <r>
    <x v="11"/>
    <s v="Crédit Agricole"/>
    <m/>
    <m/>
    <m/>
    <m/>
    <s v="vx"/>
    <x v="1"/>
    <m/>
    <m/>
    <m/>
    <m/>
    <m/>
    <m/>
    <n v="2375068.7070504697"/>
    <m/>
    <n v="0"/>
    <n v="0"/>
    <n v="0"/>
    <n v="22284.406509345787"/>
    <n v="0"/>
    <m/>
    <m/>
    <m/>
  </r>
  <r>
    <x v="10"/>
    <s v="Rheinboden Hypothekenbank"/>
    <m/>
    <m/>
    <m/>
    <m/>
    <s v="vx"/>
    <x v="1"/>
    <m/>
    <m/>
    <m/>
    <m/>
    <m/>
    <m/>
    <n v="6802397.4784137402"/>
    <m/>
    <n v="405521.34078007861"/>
    <n v="645720.02890874073"/>
    <n v="1.5247226692736149E-3"/>
    <n v="54427.797522935645"/>
    <n v="1051241.3712135421"/>
    <m/>
    <m/>
    <m/>
  </r>
  <r>
    <x v="0"/>
    <s v="CDC"/>
    <m/>
    <m/>
    <m/>
    <m/>
    <s v="vx"/>
    <x v="2"/>
    <m/>
    <m/>
    <m/>
    <m/>
    <m/>
    <m/>
    <n v="31726169.009999998"/>
    <m/>
    <n v="2057192.72"/>
    <n v="3215434.1"/>
    <n v="0"/>
    <n v="471628.64000000007"/>
    <n v="5272626.82"/>
    <m/>
    <m/>
    <m/>
  </r>
  <r>
    <x v="1"/>
    <s v="Dexia CL"/>
    <m/>
    <m/>
    <m/>
    <m/>
    <s v="vx"/>
    <x v="2"/>
    <m/>
    <m/>
    <m/>
    <m/>
    <m/>
    <m/>
    <n v="32986080.280000001"/>
    <m/>
    <n v="4147119.6899999995"/>
    <n v="3921760.2"/>
    <n v="0"/>
    <n v="428708.88000000012"/>
    <n v="8068879.8899999997"/>
    <m/>
    <m/>
    <m/>
  </r>
  <r>
    <x v="2"/>
    <s v="Caisse d'Épargne"/>
    <m/>
    <m/>
    <m/>
    <m/>
    <s v="vx"/>
    <x v="2"/>
    <m/>
    <m/>
    <m/>
    <m/>
    <m/>
    <m/>
    <n v="2612983.5599999987"/>
    <m/>
    <n v="401869.39"/>
    <n v="1832117.8"/>
    <n v="0"/>
    <n v="225162.89"/>
    <n v="2233987.19"/>
    <m/>
    <m/>
    <m/>
  </r>
  <r>
    <x v="3"/>
    <s v="Crédit Mutuel"/>
    <m/>
    <m/>
    <m/>
    <m/>
    <s v="vx"/>
    <x v="2"/>
    <m/>
    <m/>
    <m/>
    <m/>
    <m/>
    <m/>
    <n v="2941555.1799999997"/>
    <m/>
    <n v="178818.84000000003"/>
    <n v="39641.480000000003"/>
    <n v="0"/>
    <n v="0"/>
    <n v="218460.32000000004"/>
    <m/>
    <m/>
    <m/>
  </r>
  <r>
    <x v="4"/>
    <s v="Société générale"/>
    <m/>
    <m/>
    <m/>
    <m/>
    <s v="vx"/>
    <x v="2"/>
    <m/>
    <m/>
    <m/>
    <m/>
    <m/>
    <m/>
    <n v="2335990.7599999998"/>
    <m/>
    <n v="172641.03"/>
    <n v="387053.87"/>
    <n v="0"/>
    <n v="85209.26"/>
    <n v="559694.9"/>
    <m/>
    <m/>
    <m/>
  </r>
  <r>
    <x v="5"/>
    <s v="Crédit Foncier"/>
    <m/>
    <m/>
    <m/>
    <m/>
    <s v="vx"/>
    <x v="2"/>
    <m/>
    <m/>
    <m/>
    <m/>
    <m/>
    <m/>
    <n v="3499004.1"/>
    <m/>
    <n v="292301.88"/>
    <n v="440586.88"/>
    <n v="0"/>
    <n v="0"/>
    <n v="732888.76"/>
    <m/>
    <m/>
    <m/>
  </r>
  <r>
    <x v="6"/>
    <s v="Auxifip CEPME"/>
    <m/>
    <m/>
    <m/>
    <m/>
    <s v="vx"/>
    <x v="2"/>
    <m/>
    <m/>
    <m/>
    <m/>
    <m/>
    <m/>
    <n v="3347605.89"/>
    <m/>
    <n v="284689.44"/>
    <n v="395771.36"/>
    <n v="0"/>
    <n v="0"/>
    <n v="680460.80000000005"/>
    <m/>
    <m/>
    <m/>
  </r>
  <r>
    <x v="7"/>
    <s v="Natixis"/>
    <m/>
    <m/>
    <m/>
    <m/>
    <s v="vx"/>
    <x v="2"/>
    <m/>
    <m/>
    <m/>
    <m/>
    <m/>
    <m/>
    <n v="0"/>
    <m/>
    <n v="108877.19"/>
    <n v="4611582.7699999996"/>
    <n v="0"/>
    <n v="95788.13"/>
    <n v="4720459.96"/>
    <m/>
    <m/>
    <m/>
  </r>
  <r>
    <x v="8"/>
    <s v="Krebitbank BW"/>
    <m/>
    <m/>
    <m/>
    <m/>
    <s v="vx"/>
    <x v="2"/>
    <m/>
    <m/>
    <m/>
    <m/>
    <m/>
    <m/>
    <n v="0"/>
    <m/>
    <n v="390183.54"/>
    <n v="6317807.25"/>
    <n v="0"/>
    <n v="0"/>
    <n v="6707990.79"/>
    <m/>
    <m/>
    <m/>
  </r>
  <r>
    <x v="9"/>
    <s v="Deutsche Hypothekenbank"/>
    <m/>
    <m/>
    <m/>
    <m/>
    <s v="vx"/>
    <x v="2"/>
    <m/>
    <m/>
    <m/>
    <m/>
    <m/>
    <m/>
    <n v="2588100.44"/>
    <m/>
    <n v="238709.1"/>
    <n v="220240.5"/>
    <n v="0"/>
    <n v="0"/>
    <n v="458949.6"/>
    <m/>
    <m/>
    <m/>
  </r>
  <r>
    <x v="11"/>
    <s v="Crédit Agricole"/>
    <m/>
    <m/>
    <m/>
    <m/>
    <s v="vx"/>
    <x v="2"/>
    <m/>
    <m/>
    <m/>
    <m/>
    <m/>
    <m/>
    <n v="0"/>
    <m/>
    <n v="0"/>
    <n v="0"/>
    <n v="0"/>
    <n v="0"/>
    <n v="0"/>
    <m/>
    <m/>
    <m/>
  </r>
  <r>
    <x v="10"/>
    <s v="Rheinboden Hypothekenbank"/>
    <m/>
    <m/>
    <m/>
    <m/>
    <s v="vx"/>
    <x v="2"/>
    <m/>
    <m/>
    <m/>
    <m/>
    <m/>
    <m/>
    <n v="6155738.8700000001"/>
    <m/>
    <n v="383098.06"/>
    <n v="645621.59"/>
    <n v="0"/>
    <n v="49694.13"/>
    <n v="1028719.6499999999"/>
    <m/>
    <m/>
    <m/>
  </r>
  <r>
    <x v="0"/>
    <s v="CDC"/>
    <m/>
    <m/>
    <m/>
    <m/>
    <s v="vx"/>
    <x v="3"/>
    <m/>
    <m/>
    <m/>
    <m/>
    <m/>
    <m/>
    <n v="29708450.129999995"/>
    <m/>
    <n v="1717945.0700000003"/>
    <n v="2932413.0900000003"/>
    <n v="0"/>
    <n v="444572.45999999996"/>
    <n v="4650358.16"/>
    <m/>
    <m/>
    <m/>
  </r>
  <r>
    <x v="1"/>
    <s v="Dexia CL"/>
    <m/>
    <m/>
    <m/>
    <m/>
    <s v="vx"/>
    <x v="3"/>
    <m/>
    <m/>
    <m/>
    <m/>
    <m/>
    <m/>
    <n v="4476391.3300000131"/>
    <m/>
    <n v="1396401.19"/>
    <n v="5679145.3899999997"/>
    <n v="0"/>
    <n v="92485.990000000224"/>
    <n v="7075546.5800000001"/>
    <m/>
    <m/>
    <m/>
  </r>
  <r>
    <x v="2"/>
    <s v="Caisse d'Épargne"/>
    <m/>
    <m/>
    <m/>
    <m/>
    <s v="vx"/>
    <x v="3"/>
    <m/>
    <m/>
    <m/>
    <m/>
    <m/>
    <m/>
    <n v="1322618.4099999983"/>
    <m/>
    <n v="157949.70999999996"/>
    <n v="1924960.6399999997"/>
    <n v="0"/>
    <n v="23252.390000000014"/>
    <n v="2082910.3499999996"/>
    <m/>
    <m/>
    <m/>
  </r>
  <r>
    <x v="3"/>
    <s v="Crédit Mutuel"/>
    <m/>
    <m/>
    <m/>
    <m/>
    <s v="vx"/>
    <x v="3"/>
    <m/>
    <m/>
    <m/>
    <m/>
    <m/>
    <m/>
    <n v="3111056.14"/>
    <m/>
    <n v="130226.69999999998"/>
    <n v="43803.839999999997"/>
    <n v="0"/>
    <n v="0"/>
    <n v="174030.53999999998"/>
    <m/>
    <m/>
    <m/>
  </r>
  <r>
    <x v="4"/>
    <s v="Société générale"/>
    <m/>
    <m/>
    <m/>
    <m/>
    <s v="vx"/>
    <x v="3"/>
    <m/>
    <m/>
    <m/>
    <m/>
    <m/>
    <m/>
    <n v="1924397.67"/>
    <m/>
    <n v="148101.81"/>
    <n v="411593.1"/>
    <n v="0"/>
    <n v="70003.91"/>
    <n v="559694.90999999992"/>
    <m/>
    <m/>
    <m/>
  </r>
  <r>
    <x v="5"/>
    <s v="Crédit Foncier"/>
    <m/>
    <m/>
    <m/>
    <m/>
    <s v="vx"/>
    <x v="3"/>
    <m/>
    <m/>
    <m/>
    <m/>
    <m/>
    <m/>
    <n v="2106447.29"/>
    <m/>
    <n v="254591.71"/>
    <n v="1392556.81"/>
    <n v="0"/>
    <n v="0"/>
    <n v="1647148.52"/>
    <m/>
    <m/>
    <m/>
  </r>
  <r>
    <x v="6"/>
    <s v="Auxifip CEPME"/>
    <m/>
    <m/>
    <m/>
    <m/>
    <s v="vx"/>
    <x v="3"/>
    <m/>
    <m/>
    <m/>
    <m/>
    <m/>
    <m/>
    <n v="2227999.54"/>
    <m/>
    <n v="222918.85"/>
    <n v="1119606.3500000001"/>
    <n v="0"/>
    <n v="0"/>
    <n v="1342525.2000000002"/>
    <m/>
    <m/>
    <m/>
  </r>
  <r>
    <x v="7"/>
    <s v="Natixis"/>
    <m/>
    <m/>
    <m/>
    <m/>
    <s v="vx"/>
    <x v="3"/>
    <m/>
    <m/>
    <m/>
    <m/>
    <m/>
    <m/>
    <n v="0"/>
    <m/>
    <n v="0"/>
    <n v="0"/>
    <n v="0"/>
    <n v="0"/>
    <n v="0"/>
    <m/>
    <m/>
    <m/>
  </r>
  <r>
    <x v="9"/>
    <s v="Deutsche Hypothekenbank"/>
    <m/>
    <m/>
    <m/>
    <m/>
    <s v="vx"/>
    <x v="3"/>
    <m/>
    <m/>
    <m/>
    <m/>
    <m/>
    <m/>
    <n v="2349139.5"/>
    <m/>
    <n v="219988.66"/>
    <n v="238960.94"/>
    <n v="0"/>
    <n v="0"/>
    <n v="458949.6"/>
    <m/>
    <m/>
    <m/>
  </r>
  <r>
    <x v="11"/>
    <s v="Crédit Agricole"/>
    <m/>
    <m/>
    <m/>
    <m/>
    <s v="vx"/>
    <x v="3"/>
    <m/>
    <m/>
    <m/>
    <m/>
    <m/>
    <m/>
    <n v="0"/>
    <m/>
    <n v="0"/>
    <n v="0"/>
    <n v="0"/>
    <n v="0"/>
    <n v="0"/>
    <m/>
    <m/>
    <m/>
  </r>
  <r>
    <x v="10"/>
    <s v="Rheinboden Hypothekenbank"/>
    <m/>
    <m/>
    <m/>
    <m/>
    <s v="vx"/>
    <x v="3"/>
    <m/>
    <m/>
    <m/>
    <m/>
    <m/>
    <m/>
    <n v="5510117.2800000003"/>
    <m/>
    <n v="345444.46"/>
    <n v="645621.59"/>
    <n v="0"/>
    <n v="97583.06"/>
    <n v="991066.05"/>
    <m/>
    <m/>
    <m/>
  </r>
  <r>
    <x v="0"/>
    <s v="CDC"/>
    <m/>
    <m/>
    <m/>
    <m/>
    <s v="vx"/>
    <x v="4"/>
    <m/>
    <m/>
    <m/>
    <m/>
    <m/>
    <m/>
    <n v="27137652.640000001"/>
    <m/>
    <n v="1500609.2599999998"/>
    <n v="2601286.37"/>
    <n v="0"/>
    <n v="384972.30999999994"/>
    <n v="4101895.63"/>
    <m/>
    <m/>
    <m/>
  </r>
  <r>
    <x v="1"/>
    <s v="Dexia CL"/>
    <m/>
    <m/>
    <m/>
    <m/>
    <s v="vx"/>
    <x v="4"/>
    <m/>
    <m/>
    <m/>
    <m/>
    <m/>
    <m/>
    <n v="122583.90999999642"/>
    <m/>
    <n v="206680.1799999997"/>
    <n v="290658.21999999974"/>
    <n v="0"/>
    <n v="0"/>
    <n v="497338.39999999944"/>
    <m/>
    <m/>
    <m/>
  </r>
  <r>
    <x v="2"/>
    <s v="Caisse d'Épargne"/>
    <m/>
    <m/>
    <m/>
    <m/>
    <s v="vx"/>
    <x v="4"/>
    <m/>
    <m/>
    <m/>
    <m/>
    <m/>
    <m/>
    <n v="556960.71999999881"/>
    <m/>
    <n v="63500.849999999977"/>
    <n v="765657.50999999989"/>
    <n v="0"/>
    <n v="11959.090000000026"/>
    <n v="829158.35999999987"/>
    <m/>
    <m/>
    <m/>
  </r>
  <r>
    <x v="3"/>
    <s v="Crédit Mutuel"/>
    <m/>
    <m/>
    <m/>
    <m/>
    <s v="vx"/>
    <x v="4"/>
    <m/>
    <m/>
    <m/>
    <m/>
    <m/>
    <m/>
    <n v="-0.64999999990686774"/>
    <m/>
    <n v="105795.12999999998"/>
    <n v="3111056.33"/>
    <n v="0"/>
    <n v="0"/>
    <n v="3216851.46"/>
    <m/>
    <m/>
    <m/>
  </r>
  <r>
    <x v="4"/>
    <s v="Société générale"/>
    <m/>
    <m/>
    <m/>
    <m/>
    <s v="vx"/>
    <x v="4"/>
    <m/>
    <m/>
    <m/>
    <m/>
    <m/>
    <m/>
    <n v="1486709.58"/>
    <m/>
    <n v="122006.81"/>
    <n v="437688.09"/>
    <n v="0"/>
    <n v="54230.28"/>
    <n v="559694.9"/>
    <m/>
    <m/>
    <m/>
  </r>
  <r>
    <x v="5"/>
    <s v="Crédit Foncier"/>
    <m/>
    <m/>
    <m/>
    <m/>
    <s v="vx"/>
    <x v="4"/>
    <m/>
    <m/>
    <m/>
    <m/>
    <m/>
    <m/>
    <n v="1304505.8999999999"/>
    <m/>
    <n v="131083.9"/>
    <n v="801941.39"/>
    <n v="0"/>
    <n v="0"/>
    <n v="933025.29"/>
    <m/>
    <m/>
    <m/>
  </r>
  <r>
    <x v="6"/>
    <s v="Auxifip CEPME"/>
    <m/>
    <m/>
    <m/>
    <m/>
    <s v="vx"/>
    <x v="4"/>
    <m/>
    <m/>
    <m/>
    <m/>
    <m/>
    <m/>
    <n v="1861019.35"/>
    <m/>
    <n v="164359.93"/>
    <n v="366980.19"/>
    <n v="0"/>
    <n v="0"/>
    <n v="531340.12"/>
    <m/>
    <m/>
    <m/>
  </r>
  <r>
    <x v="7"/>
    <s v="Natixis"/>
    <m/>
    <m/>
    <m/>
    <m/>
    <s v="vx"/>
    <x v="4"/>
    <m/>
    <m/>
    <m/>
    <m/>
    <m/>
    <m/>
    <n v="0"/>
    <m/>
    <n v="0"/>
    <n v="0"/>
    <n v="0"/>
    <n v="0"/>
    <n v="0"/>
    <m/>
    <m/>
    <m/>
  </r>
  <r>
    <x v="9"/>
    <s v="Deutsche Hypothekenbank"/>
    <m/>
    <m/>
    <m/>
    <m/>
    <s v="vx"/>
    <x v="4"/>
    <m/>
    <m/>
    <m/>
    <m/>
    <m/>
    <m/>
    <n v="2089866.86"/>
    <m/>
    <n v="199676.96"/>
    <n v="259272.64"/>
    <n v="0"/>
    <n v="0"/>
    <n v="458949.6"/>
    <m/>
    <m/>
    <m/>
  </r>
  <r>
    <x v="11"/>
    <s v="Crédit Agricole"/>
    <m/>
    <m/>
    <m/>
    <m/>
    <s v="vx"/>
    <x v="4"/>
    <m/>
    <m/>
    <m/>
    <m/>
    <m/>
    <m/>
    <n v="-0.27999999932944775"/>
    <m/>
    <n v="0"/>
    <n v="0"/>
    <n v="0"/>
    <n v="0"/>
    <n v="0"/>
    <m/>
    <m/>
    <m/>
  </r>
  <r>
    <x v="10"/>
    <s v="Rheinboden Hypothekenbank"/>
    <m/>
    <m/>
    <m/>
    <m/>
    <s v="vx"/>
    <x v="4"/>
    <m/>
    <m/>
    <m/>
    <m/>
    <m/>
    <m/>
    <n v="796546.12"/>
    <m/>
    <n v="196662.41"/>
    <n v="4713571.16"/>
    <n v="0"/>
    <n v="0"/>
    <n v="4910233.57"/>
    <m/>
    <m/>
    <m/>
  </r>
  <r>
    <x v="0"/>
    <s v="CDC"/>
    <m/>
    <m/>
    <m/>
    <m/>
    <s v="vx"/>
    <x v="5"/>
    <m/>
    <m/>
    <m/>
    <m/>
    <m/>
    <m/>
    <n v="8326731.5100000016"/>
    <m/>
    <n v="1317562.8400000001"/>
    <n v="13267117.030000001"/>
    <n v="0"/>
    <n v="176116.54"/>
    <n v="14584679.870000001"/>
    <m/>
    <m/>
    <m/>
  </r>
  <r>
    <x v="1"/>
    <s v="Dexia CL"/>
    <m/>
    <m/>
    <m/>
    <m/>
    <s v="vx"/>
    <x v="5"/>
    <m/>
    <m/>
    <m/>
    <m/>
    <m/>
    <m/>
    <n v="2.7099999934434891"/>
    <m/>
    <n v="7560.0600000005215"/>
    <n v="122586.70999999996"/>
    <n v="0"/>
    <n v="3991"/>
    <n v="130146.77000000048"/>
    <m/>
    <m/>
    <m/>
  </r>
  <r>
    <x v="2"/>
    <s v="Caisse d'Épargne"/>
    <m/>
    <m/>
    <m/>
    <m/>
    <s v="vx"/>
    <x v="5"/>
    <m/>
    <m/>
    <m/>
    <m/>
    <m/>
    <m/>
    <n v="0.97000000067055225"/>
    <m/>
    <n v="25661.449999999953"/>
    <n v="556961.32999999984"/>
    <n v="0"/>
    <n v="0"/>
    <n v="582622.7799999998"/>
    <m/>
    <m/>
    <m/>
  </r>
  <r>
    <x v="3"/>
    <s v="Crédit Mutuel"/>
    <m/>
    <m/>
    <m/>
    <m/>
    <s v="vx"/>
    <x v="5"/>
    <m/>
    <m/>
    <m/>
    <m/>
    <m/>
    <m/>
    <n v="0.31000000005587935"/>
    <m/>
    <n v="0"/>
    <n v="0"/>
    <n v="0"/>
    <n v="0"/>
    <n v="0"/>
    <m/>
    <m/>
    <m/>
  </r>
  <r>
    <x v="4"/>
    <s v="Société générale"/>
    <m/>
    <m/>
    <m/>
    <m/>
    <s v="vx"/>
    <x v="5"/>
    <m/>
    <m/>
    <m/>
    <m/>
    <m/>
    <m/>
    <n v="1021272.07"/>
    <m/>
    <n v="94257.39"/>
    <n v="465437.51"/>
    <n v="0"/>
    <n v="37252.65"/>
    <n v="559694.9"/>
    <m/>
    <m/>
    <m/>
  </r>
  <r>
    <x v="5"/>
    <s v="Crédit Foncier"/>
    <m/>
    <m/>
    <m/>
    <m/>
    <s v="vx"/>
    <x v="5"/>
    <m/>
    <m/>
    <m/>
    <m/>
    <m/>
    <m/>
    <n v="0"/>
    <m/>
    <n v="78270.350000000006"/>
    <n v="1304505.8999999999"/>
    <n v="0"/>
    <n v="0"/>
    <n v="1382776.25"/>
    <m/>
    <m/>
    <m/>
  </r>
  <r>
    <x v="6"/>
    <s v="Auxifip CEPME"/>
    <m/>
    <m/>
    <m/>
    <m/>
    <s v="vx"/>
    <x v="5"/>
    <m/>
    <m/>
    <m/>
    <m/>
    <m/>
    <m/>
    <n v="1466431.23"/>
    <m/>
    <n v="136752.01"/>
    <n v="394588.12"/>
    <n v="0"/>
    <n v="0"/>
    <n v="531340.13"/>
    <m/>
    <m/>
    <m/>
  </r>
  <r>
    <x v="7"/>
    <s v="Natixis"/>
    <m/>
    <m/>
    <m/>
    <m/>
    <s v="vx"/>
    <x v="5"/>
    <m/>
    <m/>
    <m/>
    <m/>
    <m/>
    <m/>
    <n v="0"/>
    <m/>
    <n v="0"/>
    <n v="0"/>
    <n v="0"/>
    <n v="0"/>
    <n v="0"/>
    <m/>
    <m/>
    <m/>
  </r>
  <r>
    <x v="9"/>
    <s v="Deutsche Hypothekenbank"/>
    <m/>
    <m/>
    <m/>
    <m/>
    <s v="vx"/>
    <x v="5"/>
    <m/>
    <m/>
    <m/>
    <m/>
    <m/>
    <m/>
    <n v="0"/>
    <m/>
    <n v="177638.78"/>
    <n v="2089866.86"/>
    <n v="0"/>
    <n v="0"/>
    <n v="2267505.64"/>
    <m/>
    <m/>
    <m/>
  </r>
  <r>
    <x v="11"/>
    <s v="Crédit Agricole"/>
    <m/>
    <m/>
    <m/>
    <m/>
    <s v="vx"/>
    <x v="5"/>
    <m/>
    <m/>
    <m/>
    <m/>
    <m/>
    <m/>
    <n v="0.33999999985098839"/>
    <m/>
    <n v="0"/>
    <n v="0"/>
    <n v="0"/>
    <n v="0"/>
    <n v="0"/>
    <m/>
    <m/>
    <m/>
  </r>
  <r>
    <x v="10"/>
    <s v="Rheinboden Hypothekenbank"/>
    <m/>
    <m/>
    <m/>
    <m/>
    <s v="vx"/>
    <x v="5"/>
    <m/>
    <m/>
    <m/>
    <m/>
    <m/>
    <m/>
    <n v="663153.23"/>
    <m/>
    <n v="67626.77"/>
    <n v="133392.89000000001"/>
    <n v="0"/>
    <n v="0"/>
    <n v="201019.66000000003"/>
    <m/>
    <m/>
    <m/>
  </r>
  <r>
    <x v="0"/>
    <s v="CDC"/>
    <m/>
    <m/>
    <m/>
    <m/>
    <s v="vx"/>
    <x v="6"/>
    <m/>
    <m/>
    <m/>
    <m/>
    <m/>
    <m/>
    <n v="1775872.5999999996"/>
    <m/>
    <n v="285301.97000000009"/>
    <n v="6550859.04"/>
    <n v="0"/>
    <n v="38135.862887256153"/>
    <n v="6836161.0099999998"/>
    <m/>
    <m/>
    <m/>
  </r>
  <r>
    <x v="1"/>
    <s v="Dexia CL"/>
    <m/>
    <m/>
    <m/>
    <m/>
    <s v="vx"/>
    <x v="6"/>
    <m/>
    <m/>
    <m/>
    <m/>
    <m/>
    <m/>
    <n v="1550718.6399999857"/>
    <m/>
    <n v="278505.21999999974"/>
    <n v="38112.249999999069"/>
    <n v="0"/>
    <n v="147024.53856449848"/>
    <n v="316617.46999999881"/>
    <m/>
    <m/>
    <m/>
  </r>
  <r>
    <x v="2"/>
    <s v="Caisse d'Épargne"/>
    <m/>
    <m/>
    <m/>
    <m/>
    <s v="vx"/>
    <x v="6"/>
    <m/>
    <m/>
    <m/>
    <m/>
    <m/>
    <m/>
    <n v="-0.42999999970197678"/>
    <m/>
    <n v="0"/>
    <n v="0"/>
    <n v="0"/>
    <n v="0"/>
    <n v="0"/>
    <m/>
    <m/>
    <m/>
  </r>
  <r>
    <x v="3"/>
    <s v="Crédit Mutuel"/>
    <m/>
    <m/>
    <m/>
    <m/>
    <s v="vx"/>
    <x v="6"/>
    <m/>
    <m/>
    <m/>
    <m/>
    <m/>
    <m/>
    <n v="2.0000000018626451E-2"/>
    <m/>
    <n v="0"/>
    <n v="0"/>
    <n v="0"/>
    <n v="0"/>
    <n v="0"/>
    <m/>
    <m/>
    <m/>
  </r>
  <r>
    <x v="4"/>
    <s v="Société générale"/>
    <m/>
    <m/>
    <m/>
    <m/>
    <s v="vx"/>
    <x v="6"/>
    <m/>
    <m/>
    <m/>
    <m/>
    <m/>
    <m/>
    <n v="526325.8200000003"/>
    <m/>
    <n v="64748.65"/>
    <n v="494946.25"/>
    <n v="0"/>
    <n v="25590.129287714208"/>
    <n v="559694.9"/>
    <m/>
    <m/>
    <m/>
  </r>
  <r>
    <x v="5"/>
    <s v="Crédit Foncier"/>
    <m/>
    <m/>
    <m/>
    <m/>
    <s v="vx"/>
    <x v="6"/>
    <m/>
    <m/>
    <m/>
    <m/>
    <m/>
    <m/>
    <n v="0"/>
    <m/>
    <n v="0"/>
    <n v="0"/>
    <n v="0"/>
    <n v="0"/>
    <n v="0"/>
    <m/>
    <m/>
    <m/>
  </r>
  <r>
    <x v="6"/>
    <s v="Auxifip CEPME"/>
    <m/>
    <m/>
    <m/>
    <m/>
    <s v="vx"/>
    <x v="6"/>
    <m/>
    <m/>
    <m/>
    <m/>
    <m/>
    <m/>
    <n v="1041991.74"/>
    <m/>
    <n v="106900.65"/>
    <n v="424439.49"/>
    <n v="0"/>
    <n v="0"/>
    <n v="531340.14"/>
    <m/>
    <m/>
    <m/>
  </r>
  <r>
    <x v="7"/>
    <s v="Natixis"/>
    <m/>
    <m/>
    <m/>
    <m/>
    <s v="vx"/>
    <x v="6"/>
    <m/>
    <m/>
    <m/>
    <m/>
    <m/>
    <m/>
    <n v="0"/>
    <m/>
    <n v="0"/>
    <n v="0"/>
    <n v="0"/>
    <n v="0"/>
    <n v="0"/>
    <m/>
    <m/>
    <m/>
  </r>
  <r>
    <x v="9"/>
    <s v="Deutsche Hypothekenbank"/>
    <m/>
    <m/>
    <m/>
    <m/>
    <s v="vx"/>
    <x v="6"/>
    <m/>
    <m/>
    <m/>
    <m/>
    <m/>
    <m/>
    <n v="0"/>
    <m/>
    <n v="0"/>
    <n v="0"/>
    <n v="0"/>
    <n v="0"/>
    <n v="0"/>
    <m/>
    <m/>
    <m/>
  </r>
  <r>
    <x v="11"/>
    <s v="Crédit Agricole"/>
    <m/>
    <m/>
    <m/>
    <m/>
    <s v="vx"/>
    <x v="6"/>
    <m/>
    <m/>
    <m/>
    <m/>
    <m/>
    <m/>
    <n v="0.34999999962747097"/>
    <m/>
    <n v="0"/>
    <n v="0"/>
    <n v="0"/>
    <n v="0"/>
    <n v="0"/>
    <m/>
    <m/>
    <m/>
  </r>
  <r>
    <x v="10"/>
    <s v="Rheinboden Hypothekenbank"/>
    <m/>
    <m/>
    <m/>
    <m/>
    <s v="vx"/>
    <x v="6"/>
    <m/>
    <m/>
    <m/>
    <m/>
    <m/>
    <m/>
    <n v="529760.34"/>
    <m/>
    <n v="21884.06"/>
    <n v="133392.89000000001"/>
    <n v="0"/>
    <n v="0"/>
    <n v="155276.95000000001"/>
    <m/>
    <m/>
    <m/>
  </r>
  <r>
    <x v="0"/>
    <s v="CDC"/>
    <m/>
    <m/>
    <m/>
    <m/>
    <s v="vx"/>
    <x v="7"/>
    <m/>
    <m/>
    <m/>
    <m/>
    <m/>
    <m/>
    <n v="48957.339999999851"/>
    <m/>
    <n v="59136.320000000007"/>
    <n v="-3378138.82"/>
    <n v="0"/>
    <n v="7904.6583210655826"/>
    <n v="-3319002.5"/>
    <m/>
    <m/>
    <m/>
  </r>
  <r>
    <x v="1"/>
    <s v="Dexia CL"/>
    <m/>
    <m/>
    <m/>
    <m/>
    <s v="vx"/>
    <x v="7"/>
    <m/>
    <m/>
    <m/>
    <m/>
    <m/>
    <m/>
    <n v="-339999.15000000596"/>
    <m/>
    <n v="3.9999998174607754E-2"/>
    <n v="0"/>
    <n v="0"/>
    <n v="2.1116233563602479E-2"/>
    <n v="3.9999998174607754E-2"/>
    <m/>
    <m/>
    <m/>
  </r>
  <r>
    <x v="2"/>
    <s v="Caisse d'Épargne"/>
    <m/>
    <m/>
    <m/>
    <m/>
    <s v="vx"/>
    <x v="7"/>
    <m/>
    <m/>
    <m/>
    <m/>
    <m/>
    <m/>
    <n v="0.7199999988079071"/>
    <m/>
    <n v="0"/>
    <n v="0"/>
    <n v="0"/>
    <n v="0"/>
    <n v="0"/>
    <m/>
    <m/>
    <m/>
  </r>
  <r>
    <x v="3"/>
    <s v="Crédit Mutuel"/>
    <m/>
    <m/>
    <m/>
    <m/>
    <s v="vx"/>
    <x v="7"/>
    <m/>
    <m/>
    <m/>
    <m/>
    <m/>
    <m/>
    <n v="-0.10000000009313226"/>
    <m/>
    <n v="0"/>
    <n v="0"/>
    <n v="0"/>
    <n v="0"/>
    <n v="0"/>
    <m/>
    <m/>
    <m/>
  </r>
  <r>
    <x v="4"/>
    <s v="Société générale"/>
    <m/>
    <m/>
    <m/>
    <m/>
    <s v="vx"/>
    <x v="7"/>
    <m/>
    <m/>
    <m/>
    <m/>
    <m/>
    <m/>
    <n v="-4000000.25"/>
    <m/>
    <n v="33369.080000000016"/>
    <n v="526325.81999999995"/>
    <n v="0"/>
    <n v="13188.214293457528"/>
    <n v="559694.89999999991"/>
    <m/>
    <m/>
    <m/>
  </r>
  <r>
    <x v="5"/>
    <s v="Crédit Foncier"/>
    <m/>
    <m/>
    <m/>
    <m/>
    <s v="vx"/>
    <x v="7"/>
    <m/>
    <m/>
    <m/>
    <m/>
    <m/>
    <m/>
    <n v="0"/>
    <m/>
    <n v="0"/>
    <n v="0"/>
    <n v="0"/>
    <n v="0"/>
    <n v="0"/>
    <m/>
    <m/>
    <m/>
  </r>
  <r>
    <x v="6"/>
    <s v="Auxifip CEPME"/>
    <m/>
    <m/>
    <m/>
    <m/>
    <s v="vx"/>
    <x v="7"/>
    <m/>
    <m/>
    <m/>
    <m/>
    <m/>
    <m/>
    <n v="585267.07999999996"/>
    <m/>
    <n v="74615.47"/>
    <n v="456724.66"/>
    <n v="0"/>
    <n v="0"/>
    <n v="531340.13"/>
    <m/>
    <m/>
    <m/>
  </r>
  <r>
    <x v="7"/>
    <s v="Natixis"/>
    <m/>
    <m/>
    <m/>
    <m/>
    <s v="vx"/>
    <x v="7"/>
    <m/>
    <m/>
    <m/>
    <m/>
    <m/>
    <m/>
    <n v="0"/>
    <m/>
    <n v="0"/>
    <n v="0"/>
    <n v="0"/>
    <n v="0"/>
    <n v="0"/>
    <m/>
    <m/>
    <m/>
  </r>
  <r>
    <x v="9"/>
    <s v="Deutsche Hypothekenbank"/>
    <m/>
    <m/>
    <m/>
    <m/>
    <s v="vx"/>
    <x v="7"/>
    <m/>
    <m/>
    <m/>
    <m/>
    <m/>
    <m/>
    <n v="0"/>
    <m/>
    <n v="0"/>
    <n v="0"/>
    <n v="0"/>
    <n v="0"/>
    <n v="0"/>
    <m/>
    <m/>
    <m/>
  </r>
  <r>
    <x v="11"/>
    <s v="Crédit Agricole"/>
    <m/>
    <m/>
    <m/>
    <m/>
    <s v="vx"/>
    <x v="7"/>
    <m/>
    <m/>
    <m/>
    <m/>
    <m/>
    <m/>
    <n v="-0.46000000089406967"/>
    <m/>
    <n v="0"/>
    <n v="0"/>
    <n v="0"/>
    <n v="0"/>
    <n v="0"/>
    <m/>
    <m/>
    <m/>
  </r>
  <r>
    <x v="10"/>
    <s v="Rheinboden Hypothekenbank"/>
    <m/>
    <m/>
    <m/>
    <m/>
    <s v="vx"/>
    <x v="7"/>
    <m/>
    <m/>
    <m/>
    <m/>
    <m/>
    <m/>
    <n v="396367.45"/>
    <m/>
    <n v="17482.09"/>
    <n v="133392.89000000001"/>
    <n v="0"/>
    <n v="0"/>
    <n v="150874.98000000001"/>
    <m/>
    <m/>
    <m/>
  </r>
  <r>
    <x v="0"/>
    <s v="CDC"/>
    <m/>
    <m/>
    <m/>
    <m/>
    <s v="vx"/>
    <x v="8"/>
    <m/>
    <m/>
    <m/>
    <m/>
    <m/>
    <m/>
    <n v="25027.959999999963"/>
    <m/>
    <n v="2080.6800000000221"/>
    <n v="23928.949999999953"/>
    <n v="0"/>
    <n v="278.12120327194708"/>
    <n v="26009.629999999976"/>
    <m/>
    <m/>
    <m/>
  </r>
  <r>
    <x v="1"/>
    <s v="Dexia CL"/>
    <m/>
    <m/>
    <m/>
    <m/>
    <s v="vx"/>
    <x v="8"/>
    <m/>
    <m/>
    <m/>
    <m/>
    <m/>
    <m/>
    <n v="0.59999999403953552"/>
    <m/>
    <n v="0"/>
    <n v="0"/>
    <n v="0"/>
    <n v="0"/>
    <n v="0"/>
    <m/>
    <m/>
    <m/>
  </r>
  <r>
    <x v="2"/>
    <s v="Caisse d'Épargne"/>
    <m/>
    <m/>
    <m/>
    <m/>
    <s v="vx"/>
    <x v="8"/>
    <m/>
    <m/>
    <m/>
    <m/>
    <m/>
    <m/>
    <n v="-0.80000000074505806"/>
    <m/>
    <n v="0"/>
    <n v="0"/>
    <n v="0"/>
    <n v="0"/>
    <n v="0"/>
    <m/>
    <m/>
    <m/>
  </r>
  <r>
    <x v="3"/>
    <s v="Crédit Mutuel"/>
    <m/>
    <m/>
    <m/>
    <m/>
    <s v="vx"/>
    <x v="8"/>
    <m/>
    <m/>
    <m/>
    <m/>
    <m/>
    <m/>
    <n v="0.37000000011175871"/>
    <m/>
    <n v="0"/>
    <n v="0"/>
    <n v="0"/>
    <n v="0"/>
    <n v="0"/>
    <m/>
    <m/>
    <m/>
  </r>
  <r>
    <x v="4"/>
    <s v="Société générale"/>
    <m/>
    <m/>
    <m/>
    <m/>
    <s v="vx"/>
    <x v="8"/>
    <m/>
    <m/>
    <m/>
    <m/>
    <m/>
    <m/>
    <n v="-0.56000000052154064"/>
    <m/>
    <n v="0"/>
    <n v="0"/>
    <n v="0"/>
    <n v="0"/>
    <n v="0"/>
    <m/>
    <m/>
    <m/>
  </r>
  <r>
    <x v="5"/>
    <s v="Crédit Foncier"/>
    <m/>
    <m/>
    <m/>
    <m/>
    <s v="vx"/>
    <x v="8"/>
    <m/>
    <m/>
    <m/>
    <m/>
    <m/>
    <m/>
    <n v="0"/>
    <m/>
    <n v="0"/>
    <n v="0"/>
    <n v="0"/>
    <n v="0"/>
    <n v="0"/>
    <m/>
    <m/>
    <m/>
  </r>
  <r>
    <x v="6"/>
    <s v="Auxifip CEPME"/>
    <m/>
    <m/>
    <m/>
    <m/>
    <s v="vx"/>
    <x v="8"/>
    <m/>
    <m/>
    <m/>
    <m/>
    <m/>
    <m/>
    <n v="93616.59"/>
    <m/>
    <n v="39689.620000000003"/>
    <n v="491650.49"/>
    <n v="0"/>
    <n v="0"/>
    <n v="531340.11"/>
    <m/>
    <m/>
    <m/>
  </r>
  <r>
    <x v="7"/>
    <s v="Natixis"/>
    <m/>
    <m/>
    <m/>
    <m/>
    <s v="vx"/>
    <x v="8"/>
    <m/>
    <m/>
    <m/>
    <m/>
    <m/>
    <m/>
    <n v="0"/>
    <m/>
    <n v="0"/>
    <n v="0"/>
    <n v="0"/>
    <n v="0"/>
    <n v="0"/>
    <m/>
    <m/>
    <m/>
  </r>
  <r>
    <x v="9"/>
    <s v="Deutsche Hypothekenbank"/>
    <m/>
    <m/>
    <m/>
    <m/>
    <s v="vx"/>
    <x v="8"/>
    <m/>
    <m/>
    <m/>
    <m/>
    <m/>
    <m/>
    <n v="0"/>
    <m/>
    <n v="0"/>
    <n v="0"/>
    <n v="0"/>
    <n v="0"/>
    <n v="0"/>
    <m/>
    <m/>
    <m/>
  </r>
  <r>
    <x v="11"/>
    <s v="Crédit Agricole"/>
    <m/>
    <m/>
    <m/>
    <m/>
    <s v="vx"/>
    <x v="8"/>
    <m/>
    <m/>
    <m/>
    <m/>
    <m/>
    <m/>
    <n v="-0.23999999836087227"/>
    <m/>
    <n v="0"/>
    <n v="0"/>
    <n v="0"/>
    <n v="0"/>
    <n v="0"/>
    <m/>
    <m/>
    <m/>
  </r>
  <r>
    <x v="10"/>
    <s v="Rheinboden Hypothekenbank"/>
    <m/>
    <m/>
    <m/>
    <m/>
    <s v="vx"/>
    <x v="8"/>
    <m/>
    <m/>
    <m/>
    <m/>
    <m/>
    <m/>
    <n v="262974.56"/>
    <m/>
    <n v="13080.13"/>
    <n v="133392.89000000001"/>
    <n v="0"/>
    <n v="0"/>
    <n v="146473.02000000002"/>
    <m/>
    <m/>
    <m/>
  </r>
  <r>
    <x v="0"/>
    <s v="CDC"/>
    <m/>
    <m/>
    <m/>
    <m/>
    <s v="vx"/>
    <x v="9"/>
    <m/>
    <m/>
    <m/>
    <m/>
    <m/>
    <m/>
    <n v="0.27999999979510903"/>
    <m/>
    <n v="1251.4100000000035"/>
    <n v="25028.130000000005"/>
    <n v="0"/>
    <n v="167.27399455300409"/>
    <n v="26279.540000000008"/>
    <m/>
    <m/>
    <m/>
  </r>
  <r>
    <x v="1"/>
    <s v="Dexia CL"/>
    <m/>
    <m/>
    <m/>
    <m/>
    <s v="vx"/>
    <x v="9"/>
    <m/>
    <m/>
    <m/>
    <m/>
    <m/>
    <m/>
    <n v="-1.5900000035762787"/>
    <m/>
    <n v="-3431.8299999991432"/>
    <n v="0"/>
    <n v="615427.37999999907"/>
    <n v="0"/>
    <n v="611995.54999999993"/>
    <m/>
    <m/>
    <m/>
  </r>
  <r>
    <x v="2"/>
    <s v="Caisse d'Épargne"/>
    <m/>
    <m/>
    <m/>
    <m/>
    <s v="vx"/>
    <x v="9"/>
    <m/>
    <m/>
    <m/>
    <m/>
    <m/>
    <m/>
    <n v="8.9999999850988388E-2"/>
    <m/>
    <n v="0"/>
    <n v="0"/>
    <n v="0"/>
    <n v="0"/>
    <n v="0"/>
    <m/>
    <m/>
    <m/>
  </r>
  <r>
    <x v="3"/>
    <s v="Crédit Mutuel"/>
    <m/>
    <m/>
    <m/>
    <m/>
    <s v="vx"/>
    <x v="9"/>
    <m/>
    <m/>
    <m/>
    <m/>
    <m/>
    <m/>
    <n v="-1.0400000000372529"/>
    <m/>
    <n v="-5526.0499999999811"/>
    <n v="0"/>
    <n v="-6.5483618527650833E-11"/>
    <n v="0"/>
    <n v="-5526.0500000000466"/>
    <m/>
    <m/>
    <m/>
  </r>
  <r>
    <x v="4"/>
    <s v="Société générale"/>
    <m/>
    <m/>
    <m/>
    <m/>
    <s v="vx"/>
    <x v="9"/>
    <m/>
    <m/>
    <m/>
    <m/>
    <m/>
    <m/>
    <n v="0"/>
    <m/>
    <n v="0"/>
    <n v="0"/>
    <n v="0"/>
    <n v="0"/>
    <n v="0"/>
    <m/>
    <m/>
    <m/>
  </r>
  <r>
    <x v="5"/>
    <s v="Crédit Foncier"/>
    <m/>
    <m/>
    <m/>
    <m/>
    <s v="vx"/>
    <x v="9"/>
    <m/>
    <m/>
    <m/>
    <m/>
    <m/>
    <m/>
    <n v="0"/>
    <m/>
    <n v="0"/>
    <n v="0"/>
    <n v="0"/>
    <n v="0"/>
    <n v="0"/>
    <m/>
    <m/>
    <m/>
  </r>
  <r>
    <x v="6"/>
    <s v="Auxifip CEPME"/>
    <m/>
    <m/>
    <m/>
    <m/>
    <s v="vx"/>
    <x v="9"/>
    <m/>
    <m/>
    <m/>
    <m/>
    <m/>
    <m/>
    <n v="0"/>
    <m/>
    <n v="1898.33"/>
    <n v="93616.58"/>
    <n v="9.9999999947613105E-3"/>
    <n v="0"/>
    <n v="95514.92"/>
    <m/>
    <m/>
    <m/>
  </r>
  <r>
    <x v="7"/>
    <s v="Natixis"/>
    <m/>
    <m/>
    <m/>
    <m/>
    <s v="vx"/>
    <x v="9"/>
    <m/>
    <m/>
    <m/>
    <m/>
    <m/>
    <m/>
    <n v="0"/>
    <m/>
    <n v="0"/>
    <n v="0"/>
    <n v="0"/>
    <n v="0"/>
    <n v="0"/>
    <m/>
    <m/>
    <m/>
  </r>
  <r>
    <x v="9"/>
    <s v="Deutsche Hypothekenbank"/>
    <m/>
    <m/>
    <m/>
    <m/>
    <s v="vx"/>
    <x v="9"/>
    <m/>
    <m/>
    <m/>
    <m/>
    <m/>
    <m/>
    <n v="0"/>
    <m/>
    <n v="0"/>
    <n v="0"/>
    <n v="0"/>
    <n v="0"/>
    <n v="0"/>
    <m/>
    <m/>
    <m/>
  </r>
  <r>
    <x v="11"/>
    <s v="Crédit Agricole"/>
    <m/>
    <m/>
    <m/>
    <m/>
    <s v="vx"/>
    <x v="9"/>
    <m/>
    <m/>
    <m/>
    <m/>
    <m/>
    <m/>
    <n v="0.22000000067055225"/>
    <m/>
    <n v="1590.4299999999348"/>
    <n v="0"/>
    <n v="5.8207660913467407E-11"/>
    <n v="0"/>
    <n v="1590.429999999993"/>
    <m/>
    <m/>
    <m/>
  </r>
  <r>
    <x v="10"/>
    <s v="Rheinboden Hypothekenbank"/>
    <m/>
    <m/>
    <m/>
    <m/>
    <s v="vx"/>
    <x v="9"/>
    <m/>
    <m/>
    <m/>
    <m/>
    <m/>
    <m/>
    <n v="129581.67"/>
    <m/>
    <n v="8678.16"/>
    <n v="133392.89000000001"/>
    <n v="0"/>
    <n v="0"/>
    <n v="142071.05000000002"/>
    <m/>
    <m/>
    <m/>
  </r>
  <r>
    <x v="0"/>
    <s v="CDC"/>
    <m/>
    <m/>
    <m/>
    <m/>
    <s v="vx"/>
    <x v="10"/>
    <m/>
    <m/>
    <m/>
    <m/>
    <m/>
    <m/>
    <n v="-0.37999999988824129"/>
    <m/>
    <n v="0"/>
    <n v="0"/>
    <n v="0"/>
    <n v="0"/>
    <n v="0"/>
    <m/>
    <m/>
    <m/>
  </r>
  <r>
    <x v="1"/>
    <s v="Dexia CL"/>
    <m/>
    <m/>
    <m/>
    <m/>
    <s v="vx"/>
    <x v="10"/>
    <m/>
    <m/>
    <m/>
    <m/>
    <m/>
    <m/>
    <n v="0.90000000596046448"/>
    <m/>
    <n v="-50466.7717304416"/>
    <n v="-8857.75"/>
    <n v="0"/>
    <n v="0"/>
    <n v="-59324.5217304416"/>
    <m/>
    <m/>
    <m/>
  </r>
  <r>
    <x v="2"/>
    <s v="Caisse d'Épargne"/>
    <m/>
    <m/>
    <m/>
    <m/>
    <s v="vx"/>
    <x v="10"/>
    <m/>
    <m/>
    <m/>
    <m/>
    <m/>
    <m/>
    <n v="0.44000000134110451"/>
    <m/>
    <n v="0.20000000006984919"/>
    <n v="-6857.7800000002608"/>
    <n v="0"/>
    <n v="0"/>
    <n v="-6857.5800000001909"/>
    <m/>
    <m/>
    <m/>
  </r>
  <r>
    <x v="3"/>
    <s v="Crédit Mutuel"/>
    <m/>
    <m/>
    <m/>
    <m/>
    <s v="vx"/>
    <x v="10"/>
    <m/>
    <m/>
    <m/>
    <m/>
    <m/>
    <m/>
    <n v="0.76000000000931323"/>
    <m/>
    <n v="0"/>
    <n v="0"/>
    <n v="0"/>
    <n v="0"/>
    <n v="0"/>
    <m/>
    <m/>
    <m/>
  </r>
  <r>
    <x v="4"/>
    <s v="Société générale"/>
    <m/>
    <m/>
    <m/>
    <m/>
    <s v="vx"/>
    <x v="10"/>
    <m/>
    <m/>
    <m/>
    <m/>
    <m/>
    <m/>
    <n v="0.32000000029802322"/>
    <m/>
    <n v="0"/>
    <n v="0"/>
    <n v="0"/>
    <n v="0"/>
    <n v="0"/>
    <m/>
    <m/>
    <m/>
  </r>
  <r>
    <x v="5"/>
    <s v="Crédit Foncier"/>
    <m/>
    <m/>
    <m/>
    <m/>
    <s v="vx"/>
    <x v="10"/>
    <m/>
    <m/>
    <m/>
    <m/>
    <m/>
    <m/>
    <n v="0"/>
    <m/>
    <n v="0"/>
    <n v="0"/>
    <n v="0"/>
    <n v="0"/>
    <n v="0"/>
    <m/>
    <m/>
    <m/>
  </r>
  <r>
    <x v="6"/>
    <s v="Auxifip CEPME"/>
    <m/>
    <m/>
    <m/>
    <m/>
    <s v="vx"/>
    <x v="10"/>
    <m/>
    <m/>
    <m/>
    <m/>
    <m/>
    <m/>
    <n v="0"/>
    <m/>
    <n v="0"/>
    <n v="0"/>
    <n v="0"/>
    <n v="0"/>
    <n v="0"/>
    <m/>
    <m/>
    <m/>
  </r>
  <r>
    <x v="7"/>
    <s v="Natixis"/>
    <m/>
    <m/>
    <m/>
    <m/>
    <s v="vx"/>
    <x v="10"/>
    <m/>
    <m/>
    <m/>
    <m/>
    <m/>
    <m/>
    <n v="0"/>
    <m/>
    <n v="0"/>
    <n v="0"/>
    <n v="0"/>
    <n v="0"/>
    <n v="0"/>
    <m/>
    <m/>
    <m/>
  </r>
  <r>
    <x v="9"/>
    <s v="Deutsche Hypothekenbank"/>
    <m/>
    <m/>
    <m/>
    <m/>
    <s v="vx"/>
    <x v="10"/>
    <m/>
    <m/>
    <m/>
    <m/>
    <m/>
    <m/>
    <n v="0"/>
    <m/>
    <n v="0"/>
    <n v="0"/>
    <n v="0"/>
    <n v="0"/>
    <n v="0"/>
    <m/>
    <m/>
    <m/>
  </r>
  <r>
    <x v="12"/>
    <s v="Crédit Mutuel"/>
    <d v="2001-02-28T00:00:00"/>
    <d v="2016-02-29T00:00:00"/>
    <n v="15"/>
    <s v="Fixe"/>
    <s v="Non_st"/>
    <x v="1"/>
    <n v="1"/>
    <n v="0"/>
    <s v="A"/>
    <d v="2002-02-28T00:00:00"/>
    <d v="2002-02-28T00:00:00"/>
    <n v="609889.04593531822"/>
    <n v="609889.04593531822"/>
    <n v="4.8300000000000003E-2"/>
    <n v="0"/>
    <n v="0"/>
    <n v="0"/>
    <n v="24870.541901664539"/>
    <n v="0"/>
    <n v="0"/>
    <m/>
    <n v="0"/>
  </r>
  <r>
    <x v="13"/>
    <s v="Crédit Mutuel"/>
    <d v="1999-12-01T00:00:00"/>
    <d v="2014-11-30T00:00:00"/>
    <n v="15"/>
    <s v="Fixe à phase"/>
    <s v="Non_st"/>
    <x v="1"/>
    <n v="1"/>
    <m/>
    <s v="A"/>
    <d v="2000-11-30T00:00:00"/>
    <d v="2000-11-30T00:00:00"/>
    <n v="1524490.17"/>
    <n v="1379464.1072672855"/>
    <n v="5.3900000000000003E-2"/>
    <n v="80371.933211050578"/>
    <n v="71292.68880258959"/>
    <m/>
    <n v="6490.6587869001933"/>
    <n v="151664.62048891757"/>
    <n v="-1.524722611065954E-3"/>
    <m/>
    <n v="0"/>
  </r>
  <r>
    <x v="14"/>
    <s v="CDC"/>
    <d v="2001-04-25T00:00:00"/>
    <d v="2004-04-25T00:00:00"/>
    <n v="3"/>
    <s v="Fixe"/>
    <s v="Non_st"/>
    <x v="1"/>
    <n v="1"/>
    <m/>
    <m/>
    <m/>
    <m/>
    <m/>
    <m/>
    <m/>
    <m/>
    <m/>
    <m/>
    <m/>
    <m/>
    <s v=""/>
    <m/>
    <n v="0"/>
  </r>
  <r>
    <x v="15"/>
    <s v="Caisse d'Épargne"/>
    <d v="2001-10-25T00:00:00"/>
    <d v="2006-02-25T00:00:00"/>
    <n v="19"/>
    <s v="Pente"/>
    <s v="Struct"/>
    <x v="1"/>
    <n v="1"/>
    <m/>
    <m/>
    <m/>
    <m/>
    <m/>
    <m/>
    <m/>
    <m/>
    <m/>
    <m/>
    <m/>
    <m/>
    <s v=""/>
    <m/>
    <n v="0"/>
  </r>
  <r>
    <x v="16"/>
    <s v="Dexia CL"/>
    <d v="2001-11-26T00:00:00"/>
    <d v="2006-03-01T00:00:00"/>
    <n v="20"/>
    <s v="Annulable"/>
    <s v="Struct"/>
    <x v="1"/>
    <n v="1"/>
    <n v="0"/>
    <s v="T"/>
    <d v="2002-03-01T00:00:00"/>
    <d v="2002-03-01T00:00:00"/>
    <n v="3049445.2296765912"/>
    <n v="3049445.2296765912"/>
    <n v="4.4299999999999999E-2"/>
    <n v="0"/>
    <n v="0"/>
    <n v="0"/>
    <n v="12486.773793677587"/>
    <n v="0"/>
    <n v="0"/>
    <m/>
    <n v="0"/>
  </r>
  <r>
    <x v="13"/>
    <s v="Crédit Mutuel"/>
    <d v="1999-12-01T00:00:00"/>
    <d v="2014-11-30T00:00:00"/>
    <n v="15"/>
    <s v="Fixe à phase"/>
    <s v="Non_st"/>
    <x v="2"/>
    <n v="1"/>
    <m/>
    <s v="A"/>
    <d v="2000-11-30T00:00:00"/>
    <d v="2000-11-30T00:00:00"/>
    <n v="1524490.17"/>
    <n v="1379254"/>
    <n v="5.3900000000000003E-2"/>
    <n v="76410.66"/>
    <n v="0"/>
    <m/>
    <n v="6135.7"/>
    <n v="76410.66"/>
    <n v="0"/>
    <m/>
    <n v="0"/>
  </r>
  <r>
    <x v="12"/>
    <s v="Crédit Mutuel"/>
    <d v="2001-02-28T00:00:00"/>
    <d v="2016-02-29T00:00:00"/>
    <n v="15"/>
    <s v="Fixe"/>
    <s v="Non_st"/>
    <x v="2"/>
    <n v="1"/>
    <n v="0"/>
    <s v="A"/>
    <d v="2002-02-28T00:00:00"/>
    <d v="2002-02-28T00:00:00"/>
    <n v="609796.06999999995"/>
    <n v="569143"/>
    <n v="4.8300000000000003E-2"/>
    <n v="29226.95"/>
    <n v="0"/>
    <m/>
    <n v="23809.52"/>
    <n v="29226.95"/>
    <n v="0"/>
    <m/>
    <n v="0"/>
  </r>
  <r>
    <x v="14"/>
    <s v="CDC"/>
    <d v="2001-04-25T00:00:00"/>
    <d v="2004-04-25T00:00:00"/>
    <n v="3"/>
    <s v="Fixe"/>
    <s v="Non_st"/>
    <x v="2"/>
    <n v="1"/>
    <m/>
    <m/>
    <d v="2001-04-25T00:00:00"/>
    <d v="2001-04-25T00:00:00"/>
    <m/>
    <n v="945184"/>
    <m/>
    <m/>
    <m/>
    <m/>
    <m/>
    <m/>
    <s v=""/>
    <m/>
    <n v="0"/>
  </r>
  <r>
    <x v="15"/>
    <s v="Caisse d'Épargne"/>
    <d v="2001-10-25T00:00:00"/>
    <d v="2006-02-25T00:00:00"/>
    <n v="19"/>
    <s v="Pente"/>
    <s v="Struct"/>
    <x v="2"/>
    <n v="1"/>
    <m/>
    <m/>
    <m/>
    <m/>
    <n v="11859925.98"/>
    <n v="11859925.98"/>
    <m/>
    <m/>
    <m/>
    <m/>
    <m/>
    <m/>
    <s v=""/>
    <m/>
    <n v="0"/>
  </r>
  <r>
    <x v="16"/>
    <s v="Dexia CL"/>
    <d v="2001-11-26T00:00:00"/>
    <d v="2006-03-01T00:00:00"/>
    <n v="20"/>
    <s v="Annulable"/>
    <s v="Struct"/>
    <x v="2"/>
    <n v="1"/>
    <n v="0"/>
    <s v="T"/>
    <d v="2002-03-01T00:00:00"/>
    <d v="2002-03-01T00:00:00"/>
    <n v="3048980.34"/>
    <n v="2896531.33"/>
    <n v="4.4299999999999999E-2"/>
    <n v="131941.22"/>
    <n v="152449"/>
    <m/>
    <n v="10335.1"/>
    <n v="284390.21999999997"/>
    <n v="0"/>
    <m/>
    <n v="0"/>
  </r>
  <r>
    <x v="17"/>
    <s v="CDC"/>
    <d v="2002-01-25T00:00:00"/>
    <d v="2009-01-25T00:00:00"/>
    <n v="7"/>
    <s v="Fixe"/>
    <s v="Non_st"/>
    <x v="2"/>
    <n v="1"/>
    <n v="0"/>
    <s v="A"/>
    <d v="2003-01-25T00:00:00"/>
    <d v="2003-01-25T00:00:00"/>
    <n v="2448624.3199999998"/>
    <n v="2448624.3199999998"/>
    <n v="5.2499999999999998E-2"/>
    <n v="0"/>
    <n v="0"/>
    <m/>
    <n v="123981.71"/>
    <n v="0"/>
    <n v="0"/>
    <m/>
    <n v="0"/>
  </r>
  <r>
    <x v="18"/>
    <s v="CDC"/>
    <d v="2002-02-01T00:00:00"/>
    <d v="2022-02-01T00:00:00"/>
    <n v="20"/>
    <s v="Livret A"/>
    <s v="Livr_A"/>
    <x v="2"/>
    <n v="1"/>
    <n v="0"/>
    <s v="A"/>
    <d v="2003-02-01T00:00:00"/>
    <d v="2003-02-01T00:00:00"/>
    <n v="2137796"/>
    <n v="2137796"/>
    <n v="0.03"/>
    <n v="0"/>
    <n v="0"/>
    <m/>
    <n v="56533.07"/>
    <n v="0"/>
    <n v="0"/>
    <m/>
    <n v="0"/>
  </r>
  <r>
    <x v="19"/>
    <s v="CDC"/>
    <d v="2002-04-01T00:00:00"/>
    <d v="2022-04-01T00:00:00"/>
    <n v="20"/>
    <s v="Livret A"/>
    <s v="Livr_A"/>
    <x v="2"/>
    <n v="1"/>
    <n v="0"/>
    <s v="A"/>
    <d v="2003-04-01T00:00:00"/>
    <d v="2003-04-01T00:00:00"/>
    <n v="4722409"/>
    <n v="4722409"/>
    <n v="4.2000000000000003E-2"/>
    <n v="0"/>
    <n v="0"/>
    <m/>
    <n v="158282.18"/>
    <n v="0"/>
    <n v="0"/>
    <m/>
    <n v="0"/>
  </r>
  <r>
    <x v="20"/>
    <s v="Crédit Agricole"/>
    <d v="2002-04-15T00:00:00"/>
    <d v="2017-04-18T00:00:00"/>
    <n v="15"/>
    <s v="Barrière hors zone EUR"/>
    <s v="Struct"/>
    <x v="2"/>
    <n v="1"/>
    <n v="0"/>
    <s v="A"/>
    <d v="2003-04-15T00:00:00"/>
    <d v="2003-04-15T00:00:00"/>
    <n v="13097112.84"/>
    <n v="13097112.84"/>
    <n v="3.5000000000000003E-2"/>
    <n v="211666.26"/>
    <n v="0"/>
    <m/>
    <n v="0"/>
    <n v="211666.26"/>
    <n v="0"/>
    <m/>
    <n v="0"/>
  </r>
  <r>
    <x v="21"/>
    <s v="Dexia CL"/>
    <d v="2002-05-01T00:00:00"/>
    <d v="2004-04-10T00:00:00"/>
    <n v="17"/>
    <s v="Barrière"/>
    <s v="Struct"/>
    <x v="2"/>
    <n v="1"/>
    <n v="0"/>
    <s v="T"/>
    <d v="2002-07-01T00:00:00"/>
    <d v="2003-07-01T00:00:00"/>
    <n v="13276172.539999999"/>
    <n v="13276172.539999999"/>
    <n v="5.0700000000000002E-2"/>
    <n v="275480.58"/>
    <n v="0"/>
    <m/>
    <n v="163491.74"/>
    <n v="275480.58"/>
    <n v="0"/>
    <m/>
    <n v="0"/>
  </r>
  <r>
    <x v="22"/>
    <s v="Dexia CL"/>
    <d v="2002-05-01T00:00:00"/>
    <d v="2005-07-01T00:00:00"/>
    <n v="19.25"/>
    <s v="Barrière hors zone EUR"/>
    <s v="Struct"/>
    <x v="2"/>
    <n v="1"/>
    <n v="0"/>
    <s v="T"/>
    <d v="2002-08-01T00:00:00"/>
    <d v="2003-08-01T00:00:00"/>
    <n v="4603414.62"/>
    <n v="4603414.62"/>
    <n v="4.9200000000000001E-2"/>
    <n v="113642.96"/>
    <n v="0"/>
    <m/>
    <n v="37057.49"/>
    <n v="113642.96"/>
    <n v="0"/>
    <m/>
    <n v="0"/>
  </r>
  <r>
    <x v="23"/>
    <s v="Dexia CL"/>
    <d v="2002-05-01T00:00:00"/>
    <d v="2004-04-10T00:00:00"/>
    <n v="19.25"/>
    <s v="Barrière hors zone EUR"/>
    <s v="Struct"/>
    <x v="2"/>
    <n v="1"/>
    <n v="0"/>
    <s v="T"/>
    <d v="2002-08-01T00:00:00"/>
    <d v="2003-08-01T00:00:00"/>
    <n v="12864467.300000001"/>
    <n v="12864467.300000001"/>
    <n v="4.9200000000000001E-2"/>
    <n v="317580.82"/>
    <n v="0"/>
    <m/>
    <n v="103558.96"/>
    <n v="317580.82"/>
    <n v="0"/>
    <m/>
    <n v="0"/>
  </r>
  <r>
    <x v="24"/>
    <s v="Dexia CL"/>
    <d v="2002-05-01T00:00:00"/>
    <d v="2004-06-15T00:00:00"/>
    <n v="12"/>
    <s v="Change"/>
    <s v="Struct"/>
    <x v="2"/>
    <n v="1"/>
    <n v="0"/>
    <s v="A"/>
    <d v="2003-05-01T00:00:00"/>
    <d v="2003-05-01T00:00:00"/>
    <n v="9827176.1899999995"/>
    <n v="9827176.1899999995"/>
    <n v="5.2600000000000001E-2"/>
    <n v="0"/>
    <n v="0"/>
    <m/>
    <n v="245550.44"/>
    <n v="0"/>
    <n v="0"/>
    <m/>
    <n v="0"/>
  </r>
  <r>
    <x v="25"/>
    <s v="Dexia CL"/>
    <d v="2002-05-01T00:00:00"/>
    <d v="2004-07-25T00:00:00"/>
    <n v="8"/>
    <s v="Variable hors zone EUR"/>
    <s v="Struct"/>
    <x v="2"/>
    <n v="1"/>
    <n v="0"/>
    <s v="A"/>
    <d v="2003-06-01T00:00:00"/>
    <d v="2003-06-01T00:00:00"/>
    <n v="5216728.38"/>
    <n v="5216728.38"/>
    <n v="2.7099999999999999E-2"/>
    <n v="0"/>
    <n v="0"/>
    <m/>
    <n v="82939.649999999994"/>
    <n v="0"/>
    <n v="0"/>
    <m/>
    <n v="0"/>
  </r>
  <r>
    <x v="26"/>
    <s v="CDC"/>
    <d v="2002-10-01T00:00:00"/>
    <d v="2002-10-01T00:00:00"/>
    <n v="20"/>
    <s v="Livret A"/>
    <s v="Livr_A"/>
    <x v="2"/>
    <n v="1"/>
    <n v="0"/>
    <s v="A"/>
    <d v="2003-09-24T00:00:00"/>
    <d v="2003-09-24T00:00:00"/>
    <n v="1593000"/>
    <n v="1593000"/>
    <n v="3.2500000000000001E-2"/>
    <n v="0"/>
    <n v="0"/>
    <m/>
    <n v="13900.56"/>
    <n v="0"/>
    <n v="0"/>
    <m/>
    <n v="0"/>
  </r>
  <r>
    <x v="27"/>
    <s v="Dexia CL"/>
    <d v="2002-10-04T00:00:00"/>
    <d v="2004-07-25T00:00:00"/>
    <n v="20"/>
    <s v="Fixe"/>
    <s v="Non_st"/>
    <x v="2"/>
    <n v="1"/>
    <n v="0"/>
    <s v="A"/>
    <d v="2003-10-03T00:00:00"/>
    <d v="2003-10-03T00:00:00"/>
    <n v="3000000"/>
    <n v="3000000"/>
    <n v="4.7500000000000001E-2"/>
    <n v="0"/>
    <n v="0"/>
    <m/>
    <n v="34746.58"/>
    <n v="0"/>
    <n v="0"/>
    <m/>
    <n v="0"/>
  </r>
  <r>
    <x v="28"/>
    <s v="CDC"/>
    <d v="2002-12-31T00:00:00"/>
    <d v="2023-01-01T00:00:00"/>
    <n v="20"/>
    <s v="Livret A"/>
    <s v="Livr_A"/>
    <x v="2"/>
    <n v="0"/>
    <n v="0"/>
    <s v="A"/>
    <d v="2004-01-01T00:00:00"/>
    <d v="2004-01-01T00:00:00"/>
    <n v="4190000"/>
    <n v="4190000"/>
    <n v="4.2000000000000003E-2"/>
    <n v="0"/>
    <n v="0"/>
    <m/>
    <n v="0"/>
    <n v="0"/>
    <n v="0"/>
    <m/>
    <n v="0"/>
  </r>
  <r>
    <x v="13"/>
    <s v="Crédit Mutuel"/>
    <d v="1999-12-01T00:00:00"/>
    <d v="2014-11-30T00:00:00"/>
    <n v="15"/>
    <s v="Fixe à phase"/>
    <s v="Non_st"/>
    <x v="3"/>
    <n v="1"/>
    <m/>
    <s v="A"/>
    <d v="2000-11-30T00:00:00"/>
    <d v="2000-11-30T00:00:00"/>
    <n v="1524490.17"/>
    <n v="1379254"/>
    <n v="5.5399999999999998E-2"/>
    <n v="76410.66"/>
    <n v="0"/>
    <m/>
    <n v="6471.94"/>
    <n v="76410.66"/>
    <n v="0"/>
    <m/>
    <n v="0"/>
  </r>
  <r>
    <x v="12"/>
    <s v="Crédit Mutuel"/>
    <d v="2001-02-28T00:00:00"/>
    <d v="2016-02-29T00:00:00"/>
    <n v="15"/>
    <s v="Fixe"/>
    <s v="Non_st"/>
    <x v="3"/>
    <n v="1"/>
    <n v="0"/>
    <s v="A"/>
    <d v="2002-02-28T00:00:00"/>
    <d v="2004-02-28T00:00:00"/>
    <n v="609796.06999999995"/>
    <n v="609796.06999999995"/>
    <n v="4.99E-2"/>
    <n v="30428.82"/>
    <n v="0"/>
    <m/>
    <n v="25510.19"/>
    <n v="30428.82"/>
    <n v="0"/>
    <m/>
    <n v="0"/>
  </r>
  <r>
    <x v="14"/>
    <s v="CDC"/>
    <d v="2001-04-25T00:00:00"/>
    <d v="2004-04-25T00:00:00"/>
    <n v="3"/>
    <s v="Fixe"/>
    <s v="Non_st"/>
    <x v="3"/>
    <n v="1"/>
    <n v="0"/>
    <s v="A"/>
    <d v="2001-04-25T00:00:00"/>
    <d v="2001-04-25T00:00:00"/>
    <n v="1372041.16"/>
    <n v="487836.86"/>
    <n v="4.7800000000000002E-2"/>
    <n v="44329.63"/>
    <n v="457347.05"/>
    <m/>
    <n v="15139.9"/>
    <n v="501676.68"/>
    <n v="0"/>
    <m/>
    <n v="0"/>
  </r>
  <r>
    <x v="15"/>
    <s v="Caisse d'Épargne"/>
    <d v="2001-10-25T00:00:00"/>
    <d v="2006-02-25T00:00:00"/>
    <n v="19"/>
    <s v="Pente"/>
    <s v="Struct"/>
    <x v="3"/>
    <n v="1"/>
    <n v="0"/>
    <s v="A"/>
    <d v="2001-11-25T00:00:00"/>
    <d v="2005-02-25T00:00:00"/>
    <n v="11859925.98"/>
    <n v="11859925.98"/>
    <n v="4.1000000000000002E-2"/>
    <n v="626014.88"/>
    <n v="0"/>
    <m/>
    <n v="368514.04"/>
    <n v="626014.88"/>
    <n v="0"/>
    <m/>
    <n v="0"/>
  </r>
  <r>
    <x v="16"/>
    <s v="Dexia CL"/>
    <d v="2001-11-26T00:00:00"/>
    <d v="2006-03-01T00:00:00"/>
    <n v="20"/>
    <s v="Annulable"/>
    <s v="Struct"/>
    <x v="3"/>
    <n v="1"/>
    <n v="0"/>
    <s v="T"/>
    <d v="2002-03-01T00:00:00"/>
    <d v="2002-03-01T00:00:00"/>
    <n v="3048980.34"/>
    <n v="2744082.34"/>
    <n v="4.2900000000000001E-2"/>
    <n v="123493.64"/>
    <n v="152449"/>
    <m/>
    <n v="9810.1"/>
    <n v="275942.64"/>
    <n v="0"/>
    <m/>
    <n v="0"/>
  </r>
  <r>
    <x v="17"/>
    <s v="CDC"/>
    <d v="2002-01-25T00:00:00"/>
    <d v="2009-01-25T00:00:00"/>
    <n v="7"/>
    <s v="Fixe"/>
    <s v="Non_st"/>
    <x v="3"/>
    <n v="1"/>
    <n v="0"/>
    <s v="A"/>
    <d v="2003-01-25T00:00:00"/>
    <d v="2003-01-25T00:00:00"/>
    <n v="2448751.2200000002"/>
    <n v="2148909.85"/>
    <n v="5.0999999999999997E-2"/>
    <n v="133098.01"/>
    <n v="299841.37"/>
    <m/>
    <n v="102087.93"/>
    <n v="432939.38"/>
    <n v="0"/>
    <m/>
    <n v="0"/>
  </r>
  <r>
    <x v="18"/>
    <s v="CDC"/>
    <d v="2002-02-01T00:00:00"/>
    <d v="2022-02-01T00:00:00"/>
    <n v="20"/>
    <s v="Livret A"/>
    <s v="Livr_A"/>
    <x v="3"/>
    <n v="1"/>
    <n v="0"/>
    <s v="A"/>
    <d v="2003-02-01T00:00:00"/>
    <d v="2003-02-01T00:00:00"/>
    <n v="2137796"/>
    <n v="2058236.41"/>
    <n v="0.03"/>
    <n v="62173.25"/>
    <n v="79559.59"/>
    <m/>
    <n v="56333.65"/>
    <n v="141732.84"/>
    <n v="0"/>
    <m/>
    <n v="0"/>
  </r>
  <r>
    <x v="19"/>
    <s v="CDC"/>
    <d v="2002-04-01T00:00:00"/>
    <d v="2022-04-01T00:00:00"/>
    <n v="20"/>
    <s v="Livret A"/>
    <s v="Livr_A"/>
    <x v="3"/>
    <n v="1"/>
    <n v="1.2E-2"/>
    <s v="A"/>
    <d v="2003-04-01T00:00:00"/>
    <d v="2003-04-01T00:00:00"/>
    <n v="4722409"/>
    <n v="4567085.41"/>
    <n v="4.2000000000000003E-2"/>
    <n v="207779.36"/>
    <n v="155323.59"/>
    <m/>
    <n v="143601.15"/>
    <n v="363102.95"/>
    <n v="5.8207660913467407E-11"/>
    <m/>
    <n v="0"/>
  </r>
  <r>
    <x v="20"/>
    <s v="Crédit Agricole"/>
    <d v="2002-04-15T00:00:00"/>
    <d v="2017-04-18T00:00:00"/>
    <n v="15"/>
    <s v="Barrière hors zone EUR"/>
    <s v="Struct"/>
    <x v="3"/>
    <n v="1"/>
    <n v="0"/>
    <s v="A"/>
    <d v="2003-04-15T00:00:00"/>
    <d v="2003-04-15T00:00:00"/>
    <n v="13097112.84"/>
    <n v="12418354.060000001"/>
    <n v="3.5000000000000003E-2"/>
    <n v="458398.95"/>
    <n v="678758.78"/>
    <m/>
    <n v="263908.39"/>
    <n v="1137157.73"/>
    <n v="0"/>
    <m/>
    <n v="0"/>
  </r>
  <r>
    <x v="21"/>
    <s v="Dexia CL"/>
    <d v="2002-05-01T00:00:00"/>
    <d v="2004-04-10T00:00:00"/>
    <n v="17"/>
    <s v="Barrière"/>
    <s v="Struct"/>
    <x v="3"/>
    <n v="1"/>
    <n v="0"/>
    <s v="T"/>
    <d v="2002-07-01T00:00:00"/>
    <d v="2003-07-01T00:00:00"/>
    <n v="13276172.539999999"/>
    <n v="12976173"/>
    <n v="4.9799999999999997E-2"/>
    <n v="666518.07999999996"/>
    <n v="300000"/>
    <m/>
    <n v="163348.38"/>
    <n v="966518.08"/>
    <n v="0"/>
    <m/>
    <n v="0"/>
  </r>
  <r>
    <x v="22"/>
    <s v="Dexia CL"/>
    <d v="2002-05-01T00:00:00"/>
    <d v="2005-07-01T00:00:00"/>
    <n v="19.25"/>
    <s v="Barrière hors zone EUR"/>
    <s v="Struct"/>
    <x v="3"/>
    <n v="1"/>
    <n v="0"/>
    <s v="T"/>
    <d v="2002-08-01T00:00:00"/>
    <d v="2003-08-01T00:00:00"/>
    <n v="4603414.62"/>
    <n v="4484414.62"/>
    <n v="4.8300000000000003E-2"/>
    <n v="223964.19"/>
    <n v="119000"/>
    <m/>
    <n v="36099.53"/>
    <n v="342964.19"/>
    <n v="0"/>
    <m/>
    <n v="0"/>
  </r>
  <r>
    <x v="23"/>
    <s v="Dexia CL"/>
    <d v="2002-05-01T00:00:00"/>
    <d v="2004-04-10T00:00:00"/>
    <n v="19.25"/>
    <s v="Barrière hors zone EUR"/>
    <s v="Struct"/>
    <x v="3"/>
    <n v="1"/>
    <n v="0"/>
    <s v="T"/>
    <d v="2002-08-01T00:00:00"/>
    <d v="2003-08-01T00:00:00"/>
    <n v="128964467.3"/>
    <n v="12533467.300000001"/>
    <n v="4.8300000000000003E-2"/>
    <n v="625898.04"/>
    <n v="331000"/>
    <m/>
    <n v="100894.41"/>
    <n v="956898.04"/>
    <n v="0"/>
    <m/>
    <n v="0"/>
  </r>
  <r>
    <x v="24"/>
    <s v="Dexia CL"/>
    <d v="2002-05-01T00:00:00"/>
    <d v="2004-06-15T00:00:00"/>
    <n v="12"/>
    <s v="Change"/>
    <s v="Struct"/>
    <x v="3"/>
    <n v="1"/>
    <n v="0"/>
    <s v="A"/>
    <d v="2003-05-01T00:00:00"/>
    <d v="2003-05-01T00:00:00"/>
    <n v="9827176.1899999995"/>
    <n v="9023287.25"/>
    <n v="5.2600000000000001E-2"/>
    <n v="510612.9"/>
    <n v="246954.71"/>
    <m/>
    <n v="266416.61"/>
    <n v="757567.61"/>
    <n v="0"/>
    <n v="-556934.22999999858"/>
    <n v="0"/>
  </r>
  <r>
    <x v="25"/>
    <s v="Dexia CL"/>
    <d v="2002-05-01T00:00:00"/>
    <d v="2004-07-25T00:00:00"/>
    <n v="8"/>
    <s v="Variable hors zone EUR"/>
    <s v="Struct"/>
    <x v="3"/>
    <n v="1"/>
    <n v="-2E-3"/>
    <s v="A"/>
    <d v="2003-06-01T00:00:00"/>
    <d v="2003-06-01T00:00:00"/>
    <n v="5216728.38"/>
    <n v="4566728.38"/>
    <n v="1.2500000000000001E-2"/>
    <n v="58531.69"/>
    <n v="650000"/>
    <m/>
    <n v="33682.71"/>
    <n v="708531.69"/>
    <n v="0"/>
    <m/>
    <n v="0"/>
  </r>
  <r>
    <x v="26"/>
    <s v="CDC"/>
    <d v="2002-10-01T00:00:00"/>
    <d v="2002-10-01T00:00:00"/>
    <n v="20"/>
    <s v="Livret A"/>
    <s v="Livr_A"/>
    <x v="3"/>
    <n v="1"/>
    <n v="2.5000000000000001E-3"/>
    <s v="A"/>
    <d v="2003-10-01T00:00:00"/>
    <d v="2003-10-01T00:00:00"/>
    <n v="1593000"/>
    <n v="1535207.74"/>
    <n v="2.5000000000000001E-2"/>
    <n v="52781.67"/>
    <n v="57792.26"/>
    <m/>
    <n v="9542.6200000000008"/>
    <n v="110573.93"/>
    <n v="0"/>
    <m/>
    <n v="0"/>
  </r>
  <r>
    <x v="27"/>
    <s v="Dexia CL"/>
    <d v="2002-10-04T00:00:00"/>
    <d v="2004-07-25T00:00:00"/>
    <n v="20"/>
    <s v="Fixe"/>
    <s v="Non_st"/>
    <x v="3"/>
    <n v="1"/>
    <n v="0"/>
    <s v="A"/>
    <d v="2003-10-01T00:00:00"/>
    <d v="2003-10-01T00:00:00"/>
    <n v="3000000"/>
    <n v="2850000"/>
    <n v="4.7500000000000001E-2"/>
    <n v="153187.5"/>
    <n v="150000"/>
    <m/>
    <n v="33658.81"/>
    <n v="303187.5"/>
    <n v="0"/>
    <m/>
    <n v="0"/>
  </r>
  <r>
    <x v="28"/>
    <s v="CDC"/>
    <d v="2002-12-31T00:00:00"/>
    <d v="2023-01-01T00:00:00"/>
    <n v="20"/>
    <s v="Livret A"/>
    <s v="Livr_A"/>
    <x v="3"/>
    <n v="1"/>
    <n v="1.2E-2"/>
    <s v="A"/>
    <d v="2004-01-01T00:00:00"/>
    <d v="2004-01-01T00:00:00"/>
    <n v="4190000"/>
    <n v="4190000"/>
    <n v="4.2000000000000003E-2"/>
    <n v="0"/>
    <n v="0"/>
    <m/>
    <n v="164225.9"/>
    <n v="0"/>
    <n v="0"/>
    <m/>
    <n v="0"/>
  </r>
  <r>
    <x v="29"/>
    <s v="Dexia CL"/>
    <d v="2003-01-01T00:00:00"/>
    <d v="2007-09-25T00:00:00"/>
    <n v="14"/>
    <s v="Barrière hors zone EUR"/>
    <s v="Struct"/>
    <x v="3"/>
    <n v="1"/>
    <n v="-5.9999999999999995E-4"/>
    <s v="A"/>
    <d v="2004-01-01T00:00:00"/>
    <d v="2004-01-01T00:00:00"/>
    <n v="11919139.83"/>
    <n v="11919139.83"/>
    <n v="2.2499999999999999E-2"/>
    <n v="0"/>
    <n v="0"/>
    <m/>
    <n v="221401.46"/>
    <n v="0"/>
    <n v="0"/>
    <m/>
    <n v="0"/>
  </r>
  <r>
    <x v="30"/>
    <s v="LCL"/>
    <d v="2003-01-01T00:00:00"/>
    <d v="2003-02-14T00:00:00"/>
    <n v="0.08"/>
    <s v="Fixe"/>
    <s v="Non_st"/>
    <x v="3"/>
    <n v="1"/>
    <n v="0"/>
    <s v="M"/>
    <d v="2003-02-14T00:00:00"/>
    <d v="2003-02-14T00:00:00"/>
    <n v="838469.6"/>
    <n v="0"/>
    <n v="2.87E-2"/>
    <n v="4602.6499999999996"/>
    <n v="838469.6"/>
    <m/>
    <n v="0"/>
    <n v="843072.25"/>
    <n v="0"/>
    <m/>
    <n v="0"/>
  </r>
  <r>
    <x v="31"/>
    <s v="Dexia CL"/>
    <d v="2003-03-01T00:00:00"/>
    <d v="2005-04-01T00:00:00"/>
    <n v="15"/>
    <s v="Barrière"/>
    <s v="Struct"/>
    <x v="3"/>
    <n v="1"/>
    <n v="0"/>
    <s v="A"/>
    <d v="2004-03-01T00:00:00"/>
    <d v="2004-03-01T00:00:00"/>
    <n v="8404911.75"/>
    <n v="8404911.75"/>
    <n v="4.5499999999999999E-2"/>
    <n v="0"/>
    <n v="0"/>
    <m/>
    <n v="278693.26"/>
    <n v="0"/>
    <n v="0"/>
    <m/>
    <n v="0"/>
  </r>
  <r>
    <x v="32"/>
    <s v="Dexia CL"/>
    <d v="2003-05-01T00:00:00"/>
    <d v="2005-04-01T00:00:00"/>
    <n v="8"/>
    <s v="Barrière"/>
    <s v="Struct"/>
    <x v="3"/>
    <n v="1"/>
    <n v="0"/>
    <s v="A"/>
    <d v="2004-05-01T00:00:00"/>
    <d v="2004-05-01T00:00:00"/>
    <n v="2506491.5"/>
    <n v="2506491.5"/>
    <n v="4.5499999999999999E-2"/>
    <n v="0"/>
    <n v="0"/>
    <m/>
    <n v="77297.41"/>
    <n v="0"/>
    <n v="0"/>
    <m/>
    <n v="0"/>
  </r>
  <r>
    <x v="33"/>
    <s v="Dexia CL"/>
    <d v="2003-05-15T00:00:00"/>
    <d v="2008-04-01T00:00:00"/>
    <n v="20"/>
    <s v="Barrière hors zone EUR"/>
    <s v="Struct"/>
    <x v="3"/>
    <n v="1"/>
    <n v="1.1999999999999999E-3"/>
    <s v="M"/>
    <d v="2003-06-01T00:00:00"/>
    <d v="2005-02-01T00:00:00"/>
    <n v="10998754.630000001"/>
    <n v="5898754.6299999999"/>
    <n v="2.18E-2"/>
    <n v="19182.27"/>
    <n v="0"/>
    <m/>
    <n v="3805.92"/>
    <n v="19182.27"/>
    <n v="0"/>
    <m/>
    <n v="0"/>
  </r>
  <r>
    <x v="34"/>
    <s v="Dexia CL"/>
    <d v="2003-05-31T00:00:00"/>
    <d v="2005-04-01T00:00:00"/>
    <n v="20"/>
    <s v="Barrière"/>
    <s v="Struct"/>
    <x v="3"/>
    <n v="1"/>
    <n v="0"/>
    <s v="A"/>
    <d v="2003-06-01T00:00:00"/>
    <d v="2004-06-01T00:00:00"/>
    <n v="4700000"/>
    <n v="4700000"/>
    <n v="4.4400000000000002E-2"/>
    <n v="18683.79"/>
    <n v="0"/>
    <m/>
    <n v="123469"/>
    <n v="18683.79"/>
    <n v="0"/>
    <m/>
    <n v="0"/>
  </r>
  <r>
    <x v="35"/>
    <s v="Caisse d'Épargne"/>
    <d v="2003-07-01T00:00:00"/>
    <d v="2006-02-25T00:00:00"/>
    <n v="20"/>
    <s v="Barrière hors zone EUR"/>
    <s v="Struct"/>
    <x v="3"/>
    <n v="1"/>
    <n v="0"/>
    <s v="A"/>
    <d v="2004-07-01T00:00:00"/>
    <d v="2004-07-01T00:00:00"/>
    <n v="842000"/>
    <n v="842000"/>
    <n v="3.2899999999999999E-2"/>
    <n v="0"/>
    <n v="0"/>
    <m/>
    <n v="14081.75"/>
    <n v="0"/>
    <n v="0"/>
    <m/>
    <n v="0"/>
  </r>
  <r>
    <x v="36"/>
    <s v="Caisse d'Épargne"/>
    <d v="2003-07-25T00:00:00"/>
    <d v="2003-12-25T00:00:00"/>
    <n v="0.5"/>
    <s v="Variable"/>
    <s v="Non_st"/>
    <x v="3"/>
    <n v="1"/>
    <n v="1E-3"/>
    <s v="T"/>
    <d v="2003-10-25T00:00:00"/>
    <m/>
    <n v="5000000"/>
    <n v="0"/>
    <n v="2.2499999999999999E-2"/>
    <n v="47866.66"/>
    <n v="5000000"/>
    <m/>
    <n v="0"/>
    <n v="5047866.66"/>
    <n v="0"/>
    <m/>
    <n v="0"/>
  </r>
  <r>
    <x v="37"/>
    <s v="Caisse d'Épargne"/>
    <d v="2003-09-01T00:00:00"/>
    <d v="2006-09-01T00:00:00"/>
    <n v="3"/>
    <s v="Fixe"/>
    <s v="Non_st"/>
    <x v="3"/>
    <n v="1"/>
    <n v="0"/>
    <s v="M"/>
    <d v="2003-10-01T00:00:00"/>
    <d v="2003-10-01T00:00:00"/>
    <n v="959000"/>
    <n v="882238.31"/>
    <n v="2.9100000000000001E-2"/>
    <n v="6637.98"/>
    <n v="76761.69"/>
    <m/>
    <n v="2070.42"/>
    <n v="83399.67"/>
    <n v="0"/>
    <m/>
    <n v="0"/>
  </r>
  <r>
    <x v="13"/>
    <s v="Crédit Mutuel"/>
    <d v="1999-12-01T00:00:00"/>
    <d v="2014-11-30T00:00:00"/>
    <n v="15"/>
    <s v="Fixe à phase"/>
    <s v="Non_st"/>
    <x v="4"/>
    <n v="1"/>
    <m/>
    <s v="A"/>
    <d v="2000-11-30T00:00:00"/>
    <d v="2000-11-30T00:00:00"/>
    <n v="1524490.17"/>
    <n v="1284876"/>
    <n v="5.5399999999999998E-2"/>
    <n v="76410.66"/>
    <n v="94378.14"/>
    <m/>
    <n v="6045.6"/>
    <n v="170788.8"/>
    <n v="0"/>
    <m/>
    <n v="0"/>
  </r>
  <r>
    <x v="12"/>
    <s v="Crédit Mutuel"/>
    <d v="2001-02-28T00:00:00"/>
    <d v="2016-02-29T00:00:00"/>
    <n v="15"/>
    <s v="Fixe"/>
    <s v="Non_st"/>
    <x v="4"/>
    <n v="1"/>
    <m/>
    <m/>
    <d v="2002-02-28T00:00:00"/>
    <d v="2004-02-28T00:00:00"/>
    <n v="609796.06999999995"/>
    <n v="562889"/>
    <n v="4.99E-2"/>
    <n v="30428.82"/>
    <n v="46907.39"/>
    <m/>
    <n v="23560.28"/>
    <n v="77336.210000000006"/>
    <n v="1.4551915228366852E-11"/>
    <m/>
    <n v="0"/>
  </r>
  <r>
    <x v="14"/>
    <s v="CDC"/>
    <d v="2001-04-25T00:00:00"/>
    <d v="2004-04-25T00:00:00"/>
    <n v="3"/>
    <s v="Fixe"/>
    <s v="Non_st"/>
    <x v="4"/>
    <n v="1"/>
    <m/>
    <m/>
    <d v="2001-04-25T00:00:00"/>
    <d v="2001-04-25T00:00:00"/>
    <n v="1372041.16"/>
    <n v="0"/>
    <n v="4.7800000000000002E-2"/>
    <n v="17113.580000000002"/>
    <n v="487836.86"/>
    <m/>
    <n v="0"/>
    <n v="504950.44"/>
    <n v="0"/>
    <m/>
    <n v="0"/>
  </r>
  <r>
    <x v="15"/>
    <s v="Caisse d'Épargne"/>
    <d v="2001-10-25T00:00:00"/>
    <d v="2006-02-25T00:00:00"/>
    <n v="19"/>
    <s v="Pente"/>
    <s v="Struct"/>
    <x v="4"/>
    <n v="1"/>
    <m/>
    <m/>
    <m/>
    <m/>
    <n v="11859925.98"/>
    <n v="11859925.98"/>
    <n v="3.2899999999999999E-2"/>
    <n v="493010.53"/>
    <n v="0"/>
    <m/>
    <n v="254296.58"/>
    <n v="493010.53"/>
    <n v="0"/>
    <m/>
    <n v="0"/>
  </r>
  <r>
    <x v="16"/>
    <s v="Dexia CL"/>
    <d v="2001-11-26T00:00:00"/>
    <d v="2006-03-01T00:00:00"/>
    <n v="20"/>
    <s v="Annulable"/>
    <s v="Struct"/>
    <x v="4"/>
    <n v="1"/>
    <m/>
    <m/>
    <d v="2002-03-01T00:00:00"/>
    <d v="2002-03-01T00:00:00"/>
    <m/>
    <n v="2591633"/>
    <n v="4.2900000000000001E-2"/>
    <n v="117189.75"/>
    <n v="152449"/>
    <m/>
    <n v="9265.09"/>
    <n v="269638.75"/>
    <n v="0"/>
    <m/>
    <n v="0"/>
  </r>
  <r>
    <x v="17"/>
    <s v="CDC"/>
    <d v="2002-01-25T00:00:00"/>
    <d v="2009-01-25T00:00:00"/>
    <n v="7"/>
    <s v="Fixe"/>
    <s v="Non_st"/>
    <x v="4"/>
    <n v="1"/>
    <m/>
    <m/>
    <d v="2003-01-25T00:00:00"/>
    <d v="2003-01-25T00:00:00"/>
    <n v="2448751.2200000002"/>
    <n v="1833777"/>
    <n v="5.0999999999999997E-2"/>
    <n v="109594.4"/>
    <n v="315133.28999999998"/>
    <m/>
    <n v="87134.45"/>
    <n v="424727.69"/>
    <n v="5.8207660913467407E-11"/>
    <m/>
    <n v="0"/>
  </r>
  <r>
    <x v="18"/>
    <s v="CDC"/>
    <d v="2002-02-01T00:00:00"/>
    <d v="2022-02-01T00:00:00"/>
    <n v="20"/>
    <s v="Livret A"/>
    <s v="Livr_A"/>
    <x v="4"/>
    <n v="1"/>
    <m/>
    <m/>
    <d v="2003-02-01T00:00:00"/>
    <d v="2003-02-01T00:00:00"/>
    <n v="2137796"/>
    <n v="1976290"/>
    <n v="2.2499999999999999E-2"/>
    <n v="61747.09"/>
    <n v="81946.38"/>
    <m/>
    <n v="40578.75"/>
    <n v="143693.47"/>
    <n v="0"/>
    <m/>
    <n v="0"/>
  </r>
  <r>
    <x v="19"/>
    <s v="CDC"/>
    <d v="2002-04-01T00:00:00"/>
    <d v="2022-04-01T00:00:00"/>
    <n v="20"/>
    <s v="Livret A"/>
    <s v="Livr_A"/>
    <x v="4"/>
    <n v="1"/>
    <m/>
    <m/>
    <d v="2003-04-01T00:00:00"/>
    <d v="2003-04-01T00:00:00"/>
    <n v="4722409"/>
    <n v="4405238"/>
    <n v="3.4500000000000003E-2"/>
    <n v="191817.59"/>
    <n v="161847.18"/>
    <m/>
    <n v="114089.64"/>
    <n v="353664.77"/>
    <n v="0"/>
    <m/>
    <n v="0"/>
  </r>
  <r>
    <x v="20"/>
    <s v="Crédit Agricole"/>
    <d v="2002-04-15T00:00:00"/>
    <d v="2017-04-18T00:00:00"/>
    <n v="15"/>
    <s v="Barrière hors zone EUR"/>
    <s v="Struct"/>
    <x v="4"/>
    <n v="1"/>
    <m/>
    <m/>
    <d v="2003-04-15T00:00:00"/>
    <d v="2003-04-15T00:00:00"/>
    <n v="13097112.84"/>
    <n v="11715839"/>
    <n v="3.5000000000000003E-2"/>
    <n v="434642.39"/>
    <n v="702515.34"/>
    <m/>
    <n v="292093.52"/>
    <n v="1137157.73"/>
    <n v="0"/>
    <m/>
    <n v="0"/>
  </r>
  <r>
    <x v="21"/>
    <s v="Dexia CL"/>
    <d v="2002-05-01T00:00:00"/>
    <d v="2004-04-10T00:00:00"/>
    <n v="17"/>
    <s v="Barrière"/>
    <s v="Struct"/>
    <x v="4"/>
    <n v="1"/>
    <m/>
    <m/>
    <m/>
    <m/>
    <n v="13276172.539999999"/>
    <n v="0"/>
    <n v="4.9799999999999997E-2"/>
    <n v="344647.14"/>
    <n v="0"/>
    <m/>
    <n v="0"/>
    <n v="344647.14"/>
    <n v="0"/>
    <m/>
    <n v="12976000"/>
  </r>
  <r>
    <x v="22"/>
    <s v="Dexia CL"/>
    <d v="2002-05-01T00:00:00"/>
    <d v="2005-07-01T00:00:00"/>
    <n v="19.25"/>
    <s v="Barrière hors zone EUR"/>
    <s v="Struct"/>
    <x v="4"/>
    <n v="1"/>
    <m/>
    <m/>
    <m/>
    <m/>
    <n v="4603414.62"/>
    <n v="4286415"/>
    <n v="4.8300000000000003E-2"/>
    <n v="217763.19"/>
    <n v="198000"/>
    <m/>
    <n v="34505.629999999997"/>
    <n v="415763.19"/>
    <n v="0"/>
    <m/>
    <n v="0"/>
  </r>
  <r>
    <x v="23"/>
    <s v="Dexia CL"/>
    <d v="2002-05-01T00:00:00"/>
    <d v="2004-04-10T00:00:00"/>
    <n v="19.25"/>
    <s v="Barrière hors zone EUR"/>
    <s v="Struct"/>
    <x v="4"/>
    <n v="1"/>
    <m/>
    <m/>
    <m/>
    <m/>
    <n v="12864467.300000001"/>
    <n v="0"/>
    <n v="4.8300000000000003E-2"/>
    <n v="270733.34999999998"/>
    <n v="0"/>
    <m/>
    <n v="0"/>
    <n v="270733.34999999998"/>
    <n v="0"/>
    <m/>
    <n v="12533000"/>
  </r>
  <r>
    <x v="24"/>
    <s v="Dexia CL"/>
    <d v="2002-05-01T00:00:00"/>
    <d v="2004-06-15T00:00:00"/>
    <n v="12"/>
    <s v="Change"/>
    <s v="Struct"/>
    <x v="4"/>
    <n v="1"/>
    <n v="0"/>
    <s v="A"/>
    <d v="2003-05-01T00:00:00"/>
    <d v="2003-05-01T00:00:00"/>
    <n v="9827176.1899999995"/>
    <n v="0"/>
    <n v="5.2600000000000001E-2"/>
    <n v="532315.61"/>
    <n v="378274.6"/>
    <m/>
    <n v="0"/>
    <n v="910590.21"/>
    <n v="0"/>
    <n v="50987.349999999627"/>
    <n v="8696000"/>
  </r>
  <r>
    <x v="25"/>
    <s v="Dexia CL"/>
    <d v="2002-05-01T00:00:00"/>
    <d v="2004-07-25T00:00:00"/>
    <n v="8"/>
    <s v="Variable hors zone EUR"/>
    <s v="Struct"/>
    <x v="4"/>
    <n v="1"/>
    <m/>
    <m/>
    <m/>
    <m/>
    <n v="5216728.38"/>
    <n v="0"/>
    <n v="2.07E-2"/>
    <n v="100135.55"/>
    <n v="650000"/>
    <m/>
    <n v="0"/>
    <n v="750135.55"/>
    <n v="0"/>
    <m/>
    <n v="3917000"/>
  </r>
  <r>
    <x v="26"/>
    <s v="CDC"/>
    <d v="2002-10-01T00:00:00"/>
    <d v="2002-10-01T00:00:00"/>
    <n v="20"/>
    <s v="Livret A"/>
    <s v="Livr_A"/>
    <x v="4"/>
    <n v="1"/>
    <m/>
    <m/>
    <m/>
    <m/>
    <m/>
    <n v="1471097"/>
    <n v="2.5000000000000001E-2"/>
    <n v="38380.19"/>
    <n v="64111.22"/>
    <m/>
    <n v="9169.16"/>
    <n v="102491.41"/>
    <n v="0"/>
    <m/>
    <n v="0"/>
  </r>
  <r>
    <x v="27"/>
    <s v="Dexia CL"/>
    <d v="2002-10-04T00:00:00"/>
    <d v="2004-07-25T00:00:00"/>
    <n v="20"/>
    <s v="Fixe"/>
    <s v="Non_st"/>
    <x v="4"/>
    <n v="1"/>
    <m/>
    <m/>
    <m/>
    <m/>
    <n v="3000000"/>
    <n v="0"/>
    <n v="4.7500000000000001E-2"/>
    <n v="99275"/>
    <n v="0"/>
    <m/>
    <n v="0"/>
    <n v="99275"/>
    <n v="0"/>
    <m/>
    <n v="2850000"/>
  </r>
  <r>
    <x v="28"/>
    <s v="CDC"/>
    <d v="2002-12-31T00:00:00"/>
    <d v="2023-01-01T00:00:00"/>
    <n v="20"/>
    <s v="Livret A"/>
    <s v="Livr_A"/>
    <x v="4"/>
    <n v="1"/>
    <m/>
    <m/>
    <d v="2004-01-01T00:00:00"/>
    <d v="2004-01-01T00:00:00"/>
    <n v="4190000"/>
    <n v="4052188"/>
    <n v="3.4500000000000003E-2"/>
    <n v="164675.82999999999"/>
    <n v="137812.26"/>
    <m/>
    <n v="139418.51"/>
    <n v="302488.09000000003"/>
    <n v="5.8207660913467407E-11"/>
    <m/>
    <n v="0"/>
  </r>
  <r>
    <x v="29"/>
    <s v="Dexia CL"/>
    <d v="2003-01-01T00:00:00"/>
    <d v="2007-09-25T00:00:00"/>
    <n v="14"/>
    <s v="Barrière hors zone EUR"/>
    <s v="Struct"/>
    <x v="4"/>
    <n v="1"/>
    <m/>
    <m/>
    <d v="2004-01-01T00:00:00"/>
    <d v="2004-01-01T00:00:00"/>
    <n v="11919139.83"/>
    <n v="11351969"/>
    <n v="2.2800000000000001E-2"/>
    <n v="272147.07"/>
    <n v="567171.18000000005"/>
    <m/>
    <n v="262880.06"/>
    <n v="839318.25"/>
    <n v="0"/>
    <m/>
    <n v="0"/>
  </r>
  <r>
    <x v="30"/>
    <s v="LCL"/>
    <d v="2003-01-01T00:00:00"/>
    <d v="2003-02-14T00:00:00"/>
    <n v="0.08"/>
    <s v="Fixe"/>
    <s v="Non_st"/>
    <x v="4"/>
    <n v="1"/>
    <m/>
    <m/>
    <m/>
    <m/>
    <m/>
    <m/>
    <m/>
    <m/>
    <m/>
    <m/>
    <m/>
    <m/>
    <s v=""/>
    <m/>
    <n v="0"/>
  </r>
  <r>
    <x v="31"/>
    <s v="Dexia CL"/>
    <d v="2003-03-01T00:00:00"/>
    <d v="2005-04-01T00:00:00"/>
    <n v="15"/>
    <s v="Barrière"/>
    <s v="Struct"/>
    <x v="4"/>
    <n v="1"/>
    <m/>
    <m/>
    <m/>
    <m/>
    <m/>
    <n v="8043814"/>
    <n v="4.5499999999999999E-2"/>
    <n v="388797.21"/>
    <n v="361098.23999999999"/>
    <m/>
    <n v="310077.84000000003"/>
    <n v="749895.45"/>
    <n v="0"/>
    <m/>
    <n v="0"/>
  </r>
  <r>
    <x v="32"/>
    <s v="Dexia CL"/>
    <d v="2003-05-01T00:00:00"/>
    <d v="2005-04-01T00:00:00"/>
    <n v="8"/>
    <s v="Barrière"/>
    <s v="Struct"/>
    <x v="4"/>
    <n v="1"/>
    <m/>
    <m/>
    <m/>
    <m/>
    <m/>
    <n v="2253246"/>
    <n v="4.5499999999999999E-2"/>
    <n v="115946.12"/>
    <n v="253245.5"/>
    <m/>
    <n v="69487.600000000006"/>
    <n v="369191.62"/>
    <n v="0"/>
    <m/>
    <n v="0"/>
  </r>
  <r>
    <x v="33"/>
    <s v="Dexia CL"/>
    <d v="2003-05-15T00:00:00"/>
    <d v="2008-04-01T00:00:00"/>
    <n v="20"/>
    <s v="Barrière hors zone EUR"/>
    <s v="Struct"/>
    <x v="4"/>
    <n v="1"/>
    <m/>
    <m/>
    <d v="2003-06-01T00:00:00"/>
    <d v="2005-02-01T00:00:00"/>
    <n v="10998755"/>
    <n v="10998755"/>
    <n v="3.95E-2"/>
    <n v="8851.9599999999991"/>
    <n v="0"/>
    <m/>
    <n v="403073.8"/>
    <n v="8851.9599999999991"/>
    <n v="0"/>
    <m/>
    <n v="0"/>
  </r>
  <r>
    <x v="34"/>
    <s v="Dexia CL"/>
    <d v="2003-05-31T00:00:00"/>
    <d v="2005-04-01T00:00:00"/>
    <n v="20"/>
    <s v="Barrière"/>
    <s v="Struct"/>
    <x v="4"/>
    <n v="1"/>
    <m/>
    <m/>
    <m/>
    <m/>
    <m/>
    <n v="4557860"/>
    <n v="4.4400000000000002E-2"/>
    <n v="212158"/>
    <n v="142140"/>
    <m/>
    <n v="119734.98"/>
    <n v="354298"/>
    <n v="0"/>
    <m/>
    <n v="0"/>
  </r>
  <r>
    <x v="35"/>
    <s v="Caisse d'Épargne"/>
    <d v="2003-07-01T00:00:00"/>
    <d v="2006-02-25T00:00:00"/>
    <n v="20"/>
    <s v="Barrière hors zone EUR"/>
    <s v="Struct"/>
    <x v="4"/>
    <n v="1"/>
    <m/>
    <m/>
    <m/>
    <m/>
    <n v="842000"/>
    <n v="811783"/>
    <n v="3.2899999999999999E-2"/>
    <n v="28163.5"/>
    <n v="30217.32"/>
    <m/>
    <n v="13576.39"/>
    <n v="58380.82"/>
    <n v="0"/>
    <m/>
    <n v="0"/>
  </r>
  <r>
    <x v="36"/>
    <s v="Caisse d'Épargne"/>
    <d v="2003-07-25T00:00:00"/>
    <d v="2003-12-25T00:00:00"/>
    <n v="0.5"/>
    <s v="Variable"/>
    <s v="Non_st"/>
    <x v="4"/>
    <n v="1"/>
    <m/>
    <m/>
    <m/>
    <m/>
    <m/>
    <m/>
    <m/>
    <m/>
    <m/>
    <m/>
    <m/>
    <m/>
    <s v=""/>
    <m/>
    <n v="0"/>
  </r>
  <r>
    <x v="37"/>
    <s v="Caisse d'Épargne"/>
    <d v="2003-09-01T00:00:00"/>
    <d v="2006-09-01T00:00:00"/>
    <n v="3"/>
    <s v="Fixe"/>
    <s v="Non_st"/>
    <x v="4"/>
    <n v="1"/>
    <m/>
    <m/>
    <m/>
    <m/>
    <m/>
    <n v="569553"/>
    <n v="2.9100000000000001E-2"/>
    <n v="21524.58"/>
    <n v="312685.31"/>
    <m/>
    <n v="1336.51"/>
    <n v="334209.89"/>
    <n v="0"/>
    <m/>
    <n v="0"/>
  </r>
  <r>
    <x v="38"/>
    <s v="Caisse d'Épargne"/>
    <d v="2004-02-05T00:00:00"/>
    <d v="2011-06-25T00:00:00"/>
    <n v="7"/>
    <s v="Fixe"/>
    <s v="Non_st"/>
    <x v="4"/>
    <n v="1"/>
    <m/>
    <m/>
    <d v="2004-06-25T00:00:00"/>
    <d v="2004-06-25T00:00:00"/>
    <n v="4324063.92"/>
    <n v="3763305"/>
    <n v="3.7999999999999999E-2"/>
    <n v="61617.91"/>
    <n v="560758.78"/>
    <m/>
    <n v="74049.48"/>
    <n v="622376.69000000006"/>
    <n v="0"/>
    <m/>
    <n v="0"/>
  </r>
  <r>
    <x v="39"/>
    <s v="Dexia CL"/>
    <d v="2004-03-31T00:00:00"/>
    <d v="2007-04-01T00:00:00"/>
    <n v="3"/>
    <s v="Fixe"/>
    <s v="Non_st"/>
    <x v="4"/>
    <n v="1"/>
    <m/>
    <m/>
    <m/>
    <m/>
    <n v="177894"/>
    <n v="177894"/>
    <n v="2.7E-2"/>
    <n v="0"/>
    <n v="0"/>
    <m/>
    <n v="4008.6"/>
    <n v="0"/>
    <n v="0"/>
    <m/>
    <n v="0"/>
  </r>
  <r>
    <x v="40"/>
    <s v="Dexia CL"/>
    <d v="2004-04-10T00:00:00"/>
    <d v="2005-12-01T00:00:00"/>
    <n v="17.75"/>
    <s v="Barrière avec multiplicateur"/>
    <s v="Struct"/>
    <x v="4"/>
    <n v="1"/>
    <m/>
    <m/>
    <m/>
    <m/>
    <m/>
    <n v="13211467"/>
    <n v="4.24E-2"/>
    <n v="377344.07"/>
    <n v="422000"/>
    <m/>
    <n v="46680.52"/>
    <n v="799344.11239999998"/>
    <n v="4.2399999918416142E-2"/>
    <m/>
    <n v="0"/>
  </r>
  <r>
    <x v="41"/>
    <s v="Dexia CL"/>
    <d v="2004-04-10T00:00:00"/>
    <d v="2005-07-01T00:00:00"/>
    <n v="15"/>
    <s v="Barrière hors zone EUR"/>
    <s v="Struct"/>
    <x v="4"/>
    <n v="1"/>
    <m/>
    <m/>
    <m/>
    <m/>
    <n v="12976173"/>
    <n v="12976173"/>
    <n v="4.8300000000000003E-2"/>
    <n v="0"/>
    <n v="0"/>
    <m/>
    <n v="461357"/>
    <n v="0"/>
    <n v="0"/>
    <m/>
    <n v="0"/>
  </r>
  <r>
    <x v="42"/>
    <s v="Dexia CL"/>
    <d v="2004-04-15T00:00:00"/>
    <d v="2005-04-01T00:00:00"/>
    <n v="15"/>
    <s v="Variable hors zone EUR"/>
    <s v="Struct"/>
    <x v="4"/>
    <n v="1"/>
    <m/>
    <m/>
    <m/>
    <m/>
    <m/>
    <n v="3470494"/>
    <n v="2.1499999999999998E-2"/>
    <n v="4316.5"/>
    <n v="0"/>
    <m/>
    <n v="3432.14"/>
    <n v="4316.5"/>
    <n v="0"/>
    <m/>
    <n v="0"/>
  </r>
  <r>
    <x v="43"/>
    <s v="Dexia CL"/>
    <d v="2004-04-29T00:00:00"/>
    <d v="2007-05-01T00:00:00"/>
    <n v="21"/>
    <s v="Barrière"/>
    <s v="Struct"/>
    <x v="4"/>
    <n v="1"/>
    <m/>
    <m/>
    <m/>
    <m/>
    <n v="8000000"/>
    <n v="8000000"/>
    <n v="4.0399999999999998E-2"/>
    <n v="968.89"/>
    <n v="0"/>
    <m/>
    <n v="219057.78"/>
    <n v="968.89"/>
    <n v="0"/>
    <m/>
    <n v="0"/>
  </r>
  <r>
    <x v="44"/>
    <s v="Dexia CL"/>
    <d v="2004-06-15T00:00:00"/>
    <d v="2005-02-01T00:00:00"/>
    <n v="10"/>
    <s v="Change"/>
    <s v="Struct"/>
    <x v="4"/>
    <n v="1"/>
    <m/>
    <m/>
    <m/>
    <m/>
    <n v="9527785"/>
    <n v="9527785"/>
    <n v="4.9200000000000001E-2"/>
    <n v="0"/>
    <n v="0"/>
    <m/>
    <n v="123205.23"/>
    <n v="0"/>
    <n v="0"/>
    <m/>
    <n v="0"/>
  </r>
  <r>
    <x v="45"/>
    <s v="Dexia CL"/>
    <d v="2004-07-25T00:00:00"/>
    <d v="2006-03-01T00:00:00"/>
    <n v="18"/>
    <s v="Pente"/>
    <s v="Struct"/>
    <x v="4"/>
    <n v="1"/>
    <m/>
    <m/>
    <m/>
    <m/>
    <n v="10829876"/>
    <n v="10829876"/>
    <n v="2.6700000000000002E-2"/>
    <n v="0"/>
    <n v="0"/>
    <m/>
    <n v="127489.19"/>
    <n v="0"/>
    <n v="0"/>
    <m/>
    <n v="0"/>
  </r>
  <r>
    <x v="46"/>
    <s v="Dexia CL"/>
    <d v="2005-02-01T00:00:00"/>
    <d v="2007-06-30T00:00:00"/>
    <n v="15"/>
    <s v="Change"/>
    <s v="Struct"/>
    <x v="4"/>
    <n v="0"/>
    <m/>
    <m/>
    <m/>
    <m/>
    <m/>
    <m/>
    <m/>
    <m/>
    <m/>
    <m/>
    <m/>
    <m/>
    <s v=""/>
    <m/>
    <n v="0"/>
  </r>
  <r>
    <x v="47"/>
    <s v="Dexia CL"/>
    <d v="2005-02-23T00:00:00"/>
    <d v="2007-02-01T00:00:00"/>
    <n v="17"/>
    <s v="Barrière avec multiplicateur"/>
    <s v="Struct"/>
    <x v="4"/>
    <n v="0"/>
    <m/>
    <m/>
    <m/>
    <m/>
    <m/>
    <m/>
    <m/>
    <m/>
    <m/>
    <m/>
    <m/>
    <m/>
    <s v=""/>
    <m/>
    <n v="0"/>
  </r>
  <r>
    <x v="48"/>
    <s v="Dexia CL"/>
    <d v="2005-02-23T00:00:00"/>
    <d v="2007-05-01T00:00:00"/>
    <n v="15"/>
    <s v="Variable hors zone EUR"/>
    <s v="Struct"/>
    <x v="4"/>
    <n v="0"/>
    <m/>
    <m/>
    <m/>
    <m/>
    <m/>
    <m/>
    <m/>
    <m/>
    <m/>
    <m/>
    <m/>
    <m/>
    <s v=""/>
    <m/>
    <n v="0"/>
  </r>
  <r>
    <x v="49"/>
    <s v="Crédit Mutuel"/>
    <d v="2005-03-24T00:00:00"/>
    <d v="2010-03-23T00:00:00"/>
    <n v="5"/>
    <s v="Fixe"/>
    <s v="Non_st"/>
    <x v="4"/>
    <n v="0"/>
    <m/>
    <m/>
    <m/>
    <m/>
    <m/>
    <m/>
    <m/>
    <m/>
    <m/>
    <m/>
    <m/>
    <m/>
    <s v=""/>
    <m/>
    <n v="0"/>
  </r>
  <r>
    <x v="50"/>
    <s v="Dexia CL"/>
    <d v="2005-04-01T00:00:00"/>
    <d v="2006-07-01T00:00:00"/>
    <n v="19"/>
    <s v="Change"/>
    <s v="Struct"/>
    <x v="4"/>
    <n v="0"/>
    <m/>
    <m/>
    <m/>
    <m/>
    <m/>
    <m/>
    <m/>
    <m/>
    <m/>
    <m/>
    <m/>
    <m/>
    <s v=""/>
    <m/>
    <n v="0"/>
  </r>
  <r>
    <x v="13"/>
    <s v="Crédit Mutuel"/>
    <d v="1999-12-01T00:00:00"/>
    <d v="2014-11-30T00:00:00"/>
    <n v="15"/>
    <s v="Fixe à phase"/>
    <s v="Non_st"/>
    <x v="5"/>
    <n v="1"/>
    <m/>
    <s v="A"/>
    <d v="2000-11-30T00:00:00"/>
    <d v="2000-11-30T00:00:00"/>
    <n v="1524490.17"/>
    <n v="1185269"/>
    <n v="3.2199999999999999E-2"/>
    <n v="71182.11"/>
    <n v="99606.69"/>
    <m/>
    <n v="3317.11"/>
    <n v="170788.8"/>
    <n v="0"/>
    <m/>
    <n v="0"/>
  </r>
  <r>
    <x v="12"/>
    <s v="Crédit Mutuel"/>
    <d v="2001-02-28T00:00:00"/>
    <d v="2016-02-29T00:00:00"/>
    <n v="15"/>
    <s v="Fixe"/>
    <s v="Non_st"/>
    <x v="5"/>
    <n v="1"/>
    <m/>
    <m/>
    <d v="2002-02-28T00:00:00"/>
    <d v="2004-02-28T00:00:00"/>
    <m/>
    <n v="515981"/>
    <n v="4.99E-2"/>
    <n v="28088.15"/>
    <n v="46907.39"/>
    <m/>
    <n v="21585.55"/>
    <n v="74995.540000000008"/>
    <n v="0"/>
    <m/>
    <n v="0"/>
  </r>
  <r>
    <x v="14"/>
    <s v="CDC"/>
    <d v="2001-04-25T00:00:00"/>
    <d v="2004-04-25T00:00:00"/>
    <n v="3"/>
    <s v="Fixe"/>
    <s v="Non_st"/>
    <x v="5"/>
    <n v="1"/>
    <m/>
    <m/>
    <m/>
    <m/>
    <m/>
    <m/>
    <m/>
    <m/>
    <m/>
    <m/>
    <m/>
    <m/>
    <s v=""/>
    <m/>
    <n v="0"/>
  </r>
  <r>
    <x v="15"/>
    <s v="Caisse d'Épargne"/>
    <d v="2001-10-25T00:00:00"/>
    <d v="2006-02-25T00:00:00"/>
    <n v="19"/>
    <s v="Pente"/>
    <s v="Struct"/>
    <x v="5"/>
    <n v="1"/>
    <m/>
    <m/>
    <d v="2001-11-25T00:00:00"/>
    <d v="2005-02-25T00:00:00"/>
    <n v="11859925.98"/>
    <n v="11392833"/>
    <n v="1.2999999999999999E-2"/>
    <n v="300234.03000000003"/>
    <n v="467092.82"/>
    <m/>
    <n v="127125.03"/>
    <n v="767326.85"/>
    <n v="-1.1641532182693481E-10"/>
    <m/>
    <n v="0"/>
  </r>
  <r>
    <x v="16"/>
    <s v="Dexia CL"/>
    <d v="2001-11-26T00:00:00"/>
    <d v="2006-03-01T00:00:00"/>
    <n v="20"/>
    <s v="Annulable"/>
    <s v="Struct"/>
    <x v="5"/>
    <n v="1"/>
    <m/>
    <m/>
    <d v="2002-03-01T00:00:00"/>
    <d v="2002-03-01T00:00:00"/>
    <m/>
    <n v="2439184"/>
    <n v="4.2900000000000001E-2"/>
    <n v="110231.86"/>
    <n v="152449"/>
    <m/>
    <n v="8720.08"/>
    <n v="262680.86"/>
    <n v="0"/>
    <m/>
    <n v="0"/>
  </r>
  <r>
    <x v="17"/>
    <s v="CDC"/>
    <d v="2002-01-25T00:00:00"/>
    <d v="2009-01-25T00:00:00"/>
    <n v="7"/>
    <s v="Fixe"/>
    <s v="Non_st"/>
    <x v="5"/>
    <n v="1"/>
    <m/>
    <m/>
    <d v="2003-01-25T00:00:00"/>
    <d v="2003-01-25T00:00:00"/>
    <n v="2448751.2200000002"/>
    <n v="0"/>
    <n v="5.0999999999999997E-2"/>
    <n v="93522.6"/>
    <n v="2341334.15"/>
    <m/>
    <n v="0"/>
    <n v="2434856.75"/>
    <n v="0"/>
    <n v="507557.14999999991"/>
    <n v="0"/>
  </r>
  <r>
    <x v="18"/>
    <s v="CDC"/>
    <d v="2002-02-01T00:00:00"/>
    <d v="2022-02-01T00:00:00"/>
    <n v="20"/>
    <s v="Livret A"/>
    <s v="Livr_A"/>
    <x v="5"/>
    <n v="1"/>
    <m/>
    <m/>
    <d v="2003-02-01T00:00:00"/>
    <d v="2003-02-01T00:00:00"/>
    <n v="2137796"/>
    <n v="1886019"/>
    <n v="2.2499999999999999E-2"/>
    <n v="44466.53"/>
    <n v="90271.38"/>
    <m/>
    <n v="38715.050000000003"/>
    <n v="134737.91"/>
    <n v="0"/>
    <m/>
    <n v="0"/>
  </r>
  <r>
    <x v="19"/>
    <s v="CDC"/>
    <d v="2002-04-01T00:00:00"/>
    <d v="2022-04-01T00:00:00"/>
    <n v="20"/>
    <s v="Livret A"/>
    <s v="Livr_A"/>
    <x v="5"/>
    <n v="1"/>
    <m/>
    <m/>
    <d v="2003-01-04T00:00:00"/>
    <d v="2003-01-04T00:00:00"/>
    <n v="4722409"/>
    <n v="0"/>
    <n v="3.4500000000000003E-2"/>
    <n v="151980.72"/>
    <n v="4405238.2300000004"/>
    <m/>
    <n v="0"/>
    <n v="4557218.95"/>
    <n v="0"/>
    <m/>
    <n v="0"/>
  </r>
  <r>
    <x v="20"/>
    <s v="Crédit Agricole"/>
    <d v="2002-04-15T00:00:00"/>
    <d v="2017-04-18T00:00:00"/>
    <n v="15"/>
    <s v="Barrière hors zone EUR"/>
    <s v="Struct"/>
    <x v="5"/>
    <n v="1"/>
    <m/>
    <m/>
    <d v="2003-04-15T00:00:00"/>
    <d v="2003-04-15T00:00:00"/>
    <n v="13097112.84"/>
    <n v="10988735"/>
    <n v="2.7099999999999999E-2"/>
    <n v="410054.36"/>
    <n v="727103.38"/>
    <m/>
    <n v="226106.28"/>
    <n v="1137157.74"/>
    <n v="0"/>
    <m/>
    <n v="0"/>
  </r>
  <r>
    <x v="21"/>
    <s v="Dexia CL"/>
    <d v="2002-05-01T00:00:00"/>
    <d v="2004-04-10T00:00:00"/>
    <n v="17"/>
    <s v="Barrière"/>
    <s v="Struct"/>
    <x v="5"/>
    <n v="1"/>
    <m/>
    <m/>
    <m/>
    <m/>
    <m/>
    <m/>
    <m/>
    <m/>
    <m/>
    <m/>
    <m/>
    <m/>
    <s v=""/>
    <m/>
    <n v="0"/>
  </r>
  <r>
    <x v="22"/>
    <s v="Dexia CL"/>
    <d v="2002-05-01T00:00:00"/>
    <d v="2005-07-01T00:00:00"/>
    <n v="19.25"/>
    <s v="Barrière hors zone EUR"/>
    <s v="Struct"/>
    <x v="5"/>
    <n v="1"/>
    <m/>
    <m/>
    <m/>
    <m/>
    <n v="4603414.62"/>
    <n v="0"/>
    <n v="4.8300000000000003E-2"/>
    <n v="139172.72"/>
    <n v="0"/>
    <m/>
    <n v="0"/>
    <n v="139172.72"/>
    <n v="0"/>
    <m/>
    <n v="4286000"/>
  </r>
  <r>
    <x v="23"/>
    <s v="Dexia CL"/>
    <d v="2002-05-01T00:00:00"/>
    <d v="2004-04-10T00:00:00"/>
    <n v="19.25"/>
    <s v="Barrière hors zone EUR"/>
    <s v="Struct"/>
    <x v="5"/>
    <n v="1"/>
    <m/>
    <m/>
    <m/>
    <m/>
    <m/>
    <m/>
    <m/>
    <m/>
    <m/>
    <m/>
    <m/>
    <m/>
    <s v=""/>
    <m/>
    <n v="0"/>
  </r>
  <r>
    <x v="25"/>
    <s v="Dexia CL"/>
    <d v="2002-05-01T00:00:00"/>
    <d v="2004-07-25T00:00:00"/>
    <n v="8"/>
    <s v="Variable hors zone EUR"/>
    <s v="Struct"/>
    <x v="5"/>
    <n v="1"/>
    <m/>
    <m/>
    <m/>
    <m/>
    <m/>
    <m/>
    <m/>
    <m/>
    <m/>
    <m/>
    <m/>
    <m/>
    <s v=""/>
    <m/>
    <n v="0"/>
  </r>
  <r>
    <x v="26"/>
    <s v="CDC"/>
    <d v="2002-10-01T00:00:00"/>
    <d v="2002-10-01T00:00:00"/>
    <n v="20"/>
    <s v="Livret A"/>
    <s v="Livr_A"/>
    <x v="5"/>
    <n v="1"/>
    <m/>
    <m/>
    <d v="2003-01-10T00:00:00"/>
    <d v="2003-01-10T00:00:00"/>
    <n v="1593000"/>
    <n v="0"/>
    <n v="2.5000000000000001E-2"/>
    <n v="36777.410000000003"/>
    <n v="1471096.52"/>
    <m/>
    <n v="0"/>
    <n v="1507873.93"/>
    <n v="0"/>
    <m/>
    <n v="0"/>
  </r>
  <r>
    <x v="27"/>
    <s v="Dexia CL"/>
    <d v="2002-10-04T00:00:00"/>
    <d v="2004-07-25T00:00:00"/>
    <n v="20"/>
    <s v="Fixe"/>
    <s v="Non_st"/>
    <x v="5"/>
    <n v="1"/>
    <m/>
    <m/>
    <m/>
    <m/>
    <m/>
    <m/>
    <m/>
    <m/>
    <m/>
    <m/>
    <m/>
    <m/>
    <s v=""/>
    <m/>
    <n v="0"/>
  </r>
  <r>
    <x v="28"/>
    <s v="CDC"/>
    <d v="2002-12-31T00:00:00"/>
    <d v="2023-01-01T00:00:00"/>
    <n v="20"/>
    <s v="Livret A"/>
    <s v="Livr_A"/>
    <x v="5"/>
    <n v="1"/>
    <m/>
    <m/>
    <m/>
    <m/>
    <n v="4190000"/>
    <n v="3880455"/>
    <n v="3.4500000000000003E-2"/>
    <n v="139800.48000000001"/>
    <n v="171733.19"/>
    <m/>
    <n v="133508.9"/>
    <n v="311533.67000000004"/>
    <n v="0"/>
    <m/>
    <n v="0"/>
  </r>
  <r>
    <x v="29"/>
    <s v="Dexia CL"/>
    <d v="2003-01-01T00:00:00"/>
    <d v="2007-09-25T00:00:00"/>
    <n v="14"/>
    <s v="Barrière hors zone EUR"/>
    <s v="Struct"/>
    <x v="5"/>
    <n v="1"/>
    <m/>
    <m/>
    <d v="2004-01-01T00:00:00"/>
    <d v="2004-01-01T00:00:00"/>
    <n v="11919139.83"/>
    <n v="10750767"/>
    <n v="2.63E-2"/>
    <n v="263600.28000000003"/>
    <n v="601201.44999999995"/>
    <m/>
    <n v="302856.61"/>
    <n v="864801.73"/>
    <n v="0"/>
    <m/>
    <n v="0"/>
  </r>
  <r>
    <x v="31"/>
    <s v="Dexia CL"/>
    <d v="2003-03-01T00:00:00"/>
    <d v="2005-04-01T00:00:00"/>
    <n v="15"/>
    <s v="Barrière"/>
    <s v="Struct"/>
    <x v="5"/>
    <n v="1"/>
    <m/>
    <m/>
    <m/>
    <m/>
    <m/>
    <n v="0"/>
    <n v="4.5499999999999999E-2"/>
    <n v="401093.18"/>
    <n v="382764"/>
    <m/>
    <n v="0"/>
    <n v="783857.17999999993"/>
    <n v="0"/>
    <m/>
    <n v="7661000"/>
  </r>
  <r>
    <x v="32"/>
    <s v="Dexia CL"/>
    <d v="2003-05-01T00:00:00"/>
    <d v="2005-04-01T00:00:00"/>
    <n v="8"/>
    <s v="Barrière"/>
    <s v="Struct"/>
    <x v="5"/>
    <n v="1"/>
    <m/>
    <m/>
    <m/>
    <m/>
    <m/>
    <n v="0"/>
    <n v="4.5499999999999999E-2"/>
    <n v="95403.05"/>
    <n v="0"/>
    <m/>
    <n v="9"/>
    <n v="95403.05"/>
    <n v="0"/>
    <m/>
    <n v="2253000"/>
  </r>
  <r>
    <x v="33"/>
    <s v="Dexia CL"/>
    <d v="2003-05-15T00:00:00"/>
    <d v="2008-04-01T00:00:00"/>
    <n v="20"/>
    <s v="Barrière hors zone EUR"/>
    <s v="Struct"/>
    <x v="5"/>
    <n v="1"/>
    <m/>
    <m/>
    <m/>
    <m/>
    <n v="10998754.630000001"/>
    <n v="10587848"/>
    <n v="0.04"/>
    <n v="441691.65"/>
    <n v="410906.16"/>
    <m/>
    <n v="386853.52"/>
    <n v="852597.81"/>
    <n v="0"/>
    <m/>
    <n v="0"/>
  </r>
  <r>
    <x v="34"/>
    <s v="Dexia CL"/>
    <d v="2003-05-31T00:00:00"/>
    <d v="2005-04-01T00:00:00"/>
    <n v="20"/>
    <s v="Barrière"/>
    <s v="Struct"/>
    <x v="5"/>
    <n v="1"/>
    <m/>
    <m/>
    <m/>
    <m/>
    <n v="4700000"/>
    <n v="0"/>
    <n v="4.4400000000000002E-2"/>
    <n v="170889.36"/>
    <n v="0"/>
    <m/>
    <n v="0"/>
    <n v="170889.36"/>
    <n v="0"/>
    <m/>
    <n v="4558000"/>
  </r>
  <r>
    <x v="35"/>
    <s v="Caisse d'Épargne"/>
    <d v="2003-07-01T00:00:00"/>
    <d v="2006-02-25T00:00:00"/>
    <n v="20"/>
    <s v="Barrière hors zone EUR"/>
    <s v="Struct"/>
    <x v="5"/>
    <n v="1"/>
    <m/>
    <m/>
    <m/>
    <m/>
    <n v="842000"/>
    <n v="780480"/>
    <n v="3.2899999999999999E-2"/>
    <n v="27078.59"/>
    <n v="31302.23"/>
    <m/>
    <n v="13052.88"/>
    <n v="58380.82"/>
    <n v="0"/>
    <m/>
    <n v="0"/>
  </r>
  <r>
    <x v="37"/>
    <s v="Caisse d'Épargne"/>
    <d v="2003-09-01T00:00:00"/>
    <d v="2006-09-01T00:00:00"/>
    <n v="3"/>
    <s v="Fixe"/>
    <s v="Non_st"/>
    <x v="5"/>
    <n v="1"/>
    <m/>
    <m/>
    <m/>
    <m/>
    <n v="959000"/>
    <n v="247645"/>
    <n v="2.9100000000000001E-2"/>
    <n v="12303.06"/>
    <n v="321907.26"/>
    <m/>
    <n v="581.16999999999996"/>
    <n v="334210.32"/>
    <n v="0"/>
    <m/>
    <n v="0"/>
  </r>
  <r>
    <x v="38"/>
    <s v="Caisse d'Épargne"/>
    <d v="2004-02-05T00:00:00"/>
    <d v="2011-06-25T00:00:00"/>
    <n v="7"/>
    <s v="Fixe"/>
    <s v="Non_st"/>
    <x v="5"/>
    <n v="1"/>
    <m/>
    <m/>
    <m/>
    <m/>
    <n v="4324063.92"/>
    <n v="3283934"/>
    <n v="3.7999999999999999E-2"/>
    <n v="143005.6"/>
    <n v="479371.09"/>
    <m/>
    <n v="64617.02"/>
    <n v="622376.69000000006"/>
    <n v="0"/>
    <m/>
    <n v="0"/>
  </r>
  <r>
    <x v="39"/>
    <s v="Dexia CL"/>
    <d v="2004-03-31T00:00:00"/>
    <d v="2007-04-01T00:00:00"/>
    <n v="3"/>
    <s v="Fixe"/>
    <s v="Non_st"/>
    <x v="5"/>
    <n v="1"/>
    <m/>
    <m/>
    <m/>
    <m/>
    <m/>
    <n v="118596"/>
    <n v="2.7E-2"/>
    <n v="4883.2"/>
    <n v="59298.12"/>
    <m/>
    <n v="2437.15"/>
    <n v="64181.32"/>
    <n v="0"/>
    <m/>
    <n v="0"/>
  </r>
  <r>
    <x v="40"/>
    <s v="Dexia CL"/>
    <d v="2004-04-10T00:00:00"/>
    <d v="2005-12-01T00:00:00"/>
    <n v="17.75"/>
    <s v="Barrière avec multiplicateur"/>
    <s v="Struct"/>
    <x v="5"/>
    <n v="1"/>
    <m/>
    <m/>
    <m/>
    <m/>
    <m/>
    <n v="0"/>
    <n v="4.24E-2"/>
    <n v="567946.29"/>
    <n v="341425"/>
    <m/>
    <n v="0"/>
    <n v="909371.29"/>
    <n v="0"/>
    <m/>
    <n v="12870000"/>
  </r>
  <r>
    <x v="41"/>
    <s v="Dexia CL"/>
    <d v="2004-04-10T00:00:00"/>
    <d v="2005-07-01T00:00:00"/>
    <n v="15"/>
    <s v="Barrière hors zone EUR"/>
    <s v="Struct"/>
    <x v="5"/>
    <n v="1"/>
    <m/>
    <m/>
    <m/>
    <m/>
    <m/>
    <n v="0"/>
    <n v="4.8300000000000003E-2"/>
    <n v="775758.23"/>
    <n v="300000"/>
    <m/>
    <n v="0"/>
    <n v="1075758.23"/>
    <n v="0"/>
    <m/>
    <n v="12676000"/>
  </r>
  <r>
    <x v="42"/>
    <s v="Dexia CL"/>
    <d v="2004-04-15T00:00:00"/>
    <d v="2005-04-01T00:00:00"/>
    <n v="15"/>
    <s v="Variable hors zone EUR"/>
    <s v="Struct"/>
    <x v="5"/>
    <n v="1"/>
    <m/>
    <m/>
    <d v="2004-01-05T00:00:00"/>
    <d v="2004-09-30T00:00:00"/>
    <m/>
    <n v="0"/>
    <n v="2.1399999999999999E-2"/>
    <n v="35188.15"/>
    <n v="0"/>
    <m/>
    <n v="0"/>
    <n v="35188.15"/>
    <n v="0"/>
    <m/>
    <n v="3470494"/>
  </r>
  <r>
    <x v="43"/>
    <s v="Dexia CL"/>
    <d v="2004-04-29T00:00:00"/>
    <d v="2007-05-01T00:00:00"/>
    <n v="21"/>
    <s v="Barrière"/>
    <s v="Struct"/>
    <x v="5"/>
    <n v="1"/>
    <m/>
    <m/>
    <m/>
    <m/>
    <n v="8000000"/>
    <n v="7758059"/>
    <n v="4.0399999999999998E-2"/>
    <n v="327688.89"/>
    <n v="241940.7"/>
    <m/>
    <n v="212432.9"/>
    <n v="569629.59000000008"/>
    <n v="0"/>
    <m/>
    <n v="0"/>
  </r>
  <r>
    <x v="44"/>
    <s v="Dexia CL"/>
    <d v="2004-06-15T00:00:00"/>
    <d v="2005-02-01T00:00:00"/>
    <n v="10"/>
    <s v="Change"/>
    <s v="Struct"/>
    <x v="5"/>
    <n v="1"/>
    <m/>
    <m/>
    <m/>
    <m/>
    <n v="9527784.7300000004"/>
    <n v="0"/>
    <n v="4.9000000000000002E-2"/>
    <n v="389407.05"/>
    <n v="0"/>
    <m/>
    <n v="0"/>
    <n v="389407.05"/>
    <n v="0"/>
    <m/>
    <n v="9528000"/>
  </r>
  <r>
    <x v="45"/>
    <s v="Dexia CL"/>
    <d v="2004-07-25T00:00:00"/>
    <d v="2006-03-01T00:00:00"/>
    <n v="18"/>
    <s v="Pente"/>
    <s v="Struct"/>
    <x v="5"/>
    <n v="1"/>
    <m/>
    <m/>
    <d v="2005-01-03T00:00:00"/>
    <d v="2005-01-03T00:00:00"/>
    <n v="10829875.76"/>
    <n v="9781580"/>
    <n v="3.44E-2"/>
    <n v="156139.73000000001"/>
    <n v="1048295.54"/>
    <m/>
    <n v="299113.7"/>
    <n v="1204435.27"/>
    <n v="0"/>
    <m/>
    <n v="0"/>
  </r>
  <r>
    <x v="46"/>
    <s v="Dexia CL"/>
    <d v="2005-02-01T00:00:00"/>
    <d v="2007-06-30T00:00:00"/>
    <n v="15"/>
    <s v="Change"/>
    <s v="Struct"/>
    <x v="5"/>
    <n v="1"/>
    <m/>
    <m/>
    <m/>
    <m/>
    <n v="11000000"/>
    <n v="11000000"/>
    <n v="2.3400000000000001E-2"/>
    <n v="0"/>
    <n v="0"/>
    <m/>
    <n v="255098.61"/>
    <n v="0"/>
    <n v="0"/>
    <m/>
    <n v="0"/>
  </r>
  <r>
    <x v="47"/>
    <s v="Dexia CL"/>
    <d v="2005-02-23T00:00:00"/>
    <d v="2007-02-01T00:00:00"/>
    <n v="17"/>
    <s v="Barrière avec multiplicateur"/>
    <s v="Struct"/>
    <x v="5"/>
    <n v="1"/>
    <m/>
    <m/>
    <m/>
    <m/>
    <n v="10833098"/>
    <n v="10833098"/>
    <m/>
    <n v="70554.880000000005"/>
    <n v="0"/>
    <m/>
    <n v="9027.58"/>
    <n v="70554.880000000005"/>
    <n v="0"/>
    <m/>
    <n v="0"/>
  </r>
  <r>
    <x v="48"/>
    <s v="Dexia CL"/>
    <d v="2005-02-23T00:00:00"/>
    <d v="2007-05-01T00:00:00"/>
    <n v="15"/>
    <s v="Variable hors zone EUR"/>
    <s v="Struct"/>
    <x v="5"/>
    <n v="1"/>
    <m/>
    <m/>
    <m/>
    <m/>
    <m/>
    <m/>
    <m/>
    <m/>
    <m/>
    <m/>
    <m/>
    <m/>
    <s v=""/>
    <m/>
    <n v="0"/>
  </r>
  <r>
    <x v="49"/>
    <s v="Crédit Mutuel"/>
    <d v="2005-03-24T00:00:00"/>
    <d v="2010-03-23T00:00:00"/>
    <n v="5"/>
    <s v="Fixe"/>
    <s v="Non_st"/>
    <x v="5"/>
    <n v="1"/>
    <m/>
    <m/>
    <d v="2006-02-28T00:00:00"/>
    <d v="2006-02-28T00:00:00"/>
    <n v="1808556"/>
    <n v="1808556"/>
    <n v="2.9700000000000001E-2"/>
    <n v="0"/>
    <n v="0"/>
    <m/>
    <n v="41692.400000000001"/>
    <n v="0"/>
    <n v="0"/>
    <m/>
    <n v="0"/>
  </r>
  <r>
    <x v="50"/>
    <s v="Dexia CL"/>
    <d v="2005-04-01T00:00:00"/>
    <d v="2006-07-01T00:00:00"/>
    <n v="19"/>
    <s v="Change"/>
    <s v="Struct"/>
    <x v="5"/>
    <n v="1"/>
    <m/>
    <m/>
    <m/>
    <m/>
    <n v="14472155"/>
    <n v="14472155"/>
    <n v="1.77E-2"/>
    <n v="0"/>
    <n v="0"/>
    <m/>
    <n v="214662.61"/>
    <n v="0"/>
    <n v="0"/>
    <m/>
    <n v="0"/>
  </r>
  <r>
    <x v="51"/>
    <s v="Dexia CL"/>
    <d v="2005-04-01T00:00:00"/>
    <d v="2007-05-01T00:00:00"/>
    <n v="15"/>
    <s v="Change"/>
    <s v="Struct"/>
    <x v="5"/>
    <n v="1"/>
    <m/>
    <m/>
    <m/>
    <m/>
    <n v="6992442"/>
    <n v="6992442"/>
    <n v="2.3800000000000002E-2"/>
    <n v="0"/>
    <n v="0"/>
    <m/>
    <n v="122823.87"/>
    <n v="0"/>
    <n v="0"/>
    <m/>
    <n v="0"/>
  </r>
  <r>
    <x v="52"/>
    <s v="CDC"/>
    <d v="2005-05-01T00:00:00"/>
    <d v="2011-04-30T00:00:00"/>
    <n v="6"/>
    <s v="Variable"/>
    <s v="Non_st"/>
    <x v="5"/>
    <n v="1"/>
    <m/>
    <m/>
    <m/>
    <m/>
    <m/>
    <n v="2503519"/>
    <n v="2.3400000000000001E-2"/>
    <n v="0"/>
    <n v="0"/>
    <m/>
    <n v="34397.839999999997"/>
    <n v="0"/>
    <n v="0"/>
    <m/>
    <n v="0"/>
  </r>
  <r>
    <x v="53"/>
    <s v="CDC"/>
    <d v="2005-05-01T00:00:00"/>
    <d v="2013-04-29T00:00:00"/>
    <n v="8"/>
    <s v="Variable"/>
    <s v="Non_st"/>
    <x v="5"/>
    <n v="1"/>
    <m/>
    <m/>
    <m/>
    <m/>
    <m/>
    <n v="3425073"/>
    <n v="2.3400000000000001E-2"/>
    <n v="0"/>
    <n v="0"/>
    <m/>
    <n v="47059.81"/>
    <n v="0"/>
    <n v="0"/>
    <m/>
    <n v="0"/>
  </r>
  <r>
    <x v="54"/>
    <s v="Dexia CL"/>
    <d v="2005-06-01T00:00:00"/>
    <d v="2006-03-29T00:00:00"/>
    <n v="17.25"/>
    <s v="Change"/>
    <s v="Struct"/>
    <x v="5"/>
    <n v="1"/>
    <m/>
    <m/>
    <m/>
    <m/>
    <m/>
    <n v="9247427"/>
    <n v="2.4799999999999999E-2"/>
    <n v="94678.48"/>
    <n v="0"/>
    <m/>
    <n v="16943.32"/>
    <n v="94678.48"/>
    <n v="0"/>
    <m/>
    <n v="0"/>
  </r>
  <r>
    <x v="55"/>
    <s v="Dexia CL"/>
    <d v="2005-07-01T00:00:00"/>
    <d v="2006-07-01T00:00:00"/>
    <n v="16"/>
    <s v="Pente"/>
    <s v="Struct"/>
    <x v="5"/>
    <n v="1"/>
    <m/>
    <m/>
    <m/>
    <m/>
    <n v="16962587"/>
    <n v="16962587"/>
    <n v="0"/>
    <n v="0"/>
    <n v="0"/>
    <m/>
    <n v="388019.18"/>
    <n v="0"/>
    <n v="0"/>
    <m/>
    <n v="0"/>
  </r>
  <r>
    <x v="56"/>
    <s v="Dexia CL"/>
    <d v="2005-12-01T00:00:00"/>
    <d v="2006-03-29T00:00:00"/>
    <n v="16"/>
    <s v="Pente"/>
    <s v="Struct"/>
    <x v="5"/>
    <n v="1"/>
    <m/>
    <m/>
    <m/>
    <m/>
    <n v="12870042"/>
    <n v="12870042"/>
    <n v="0"/>
    <n v="0"/>
    <n v="0"/>
    <m/>
    <n v="40218.879999999997"/>
    <n v="0"/>
    <n v="0"/>
    <m/>
    <n v="0"/>
  </r>
  <r>
    <x v="57"/>
    <s v="Dexia CL"/>
    <d v="2005-12-23T00:00:00"/>
    <d v="2007-05-01T00:00:00"/>
    <n v="18.170000000000002"/>
    <s v="Pente"/>
    <s v="Struct"/>
    <x v="5"/>
    <n v="1"/>
    <m/>
    <m/>
    <m/>
    <m/>
    <m/>
    <m/>
    <m/>
    <m/>
    <m/>
    <m/>
    <m/>
    <m/>
    <s v=""/>
    <m/>
    <n v="0"/>
  </r>
  <r>
    <x v="58"/>
    <s v="Caisse d'Épargne"/>
    <d v="2006-02-25T00:00:00"/>
    <d v="2007-07-25T00:00:00"/>
    <n v="20"/>
    <s v="Pente"/>
    <s v="Struct"/>
    <x v="5"/>
    <n v="0"/>
    <m/>
    <m/>
    <m/>
    <m/>
    <m/>
    <m/>
    <m/>
    <m/>
    <m/>
    <m/>
    <m/>
    <m/>
    <s v=""/>
    <m/>
    <n v="0"/>
  </r>
  <r>
    <x v="59"/>
    <s v="Dexia CL"/>
    <d v="2006-03-01T00:00:00"/>
    <d v="2010-10-01T00:00:00"/>
    <n v="16.25"/>
    <s v="Change"/>
    <s v="Struct"/>
    <x v="5"/>
    <n v="0"/>
    <m/>
    <m/>
    <m/>
    <m/>
    <m/>
    <m/>
    <m/>
    <m/>
    <m/>
    <m/>
    <m/>
    <m/>
    <s v=""/>
    <m/>
    <n v="0"/>
  </r>
  <r>
    <x v="60"/>
    <s v="Crédit Agricole"/>
    <d v="2006-03-06T00:00:00"/>
    <d v="2021-03-02T00:00:00"/>
    <n v="15"/>
    <s v="Barrière"/>
    <s v="Struct"/>
    <x v="5"/>
    <n v="0"/>
    <m/>
    <m/>
    <m/>
    <m/>
    <m/>
    <m/>
    <m/>
    <m/>
    <m/>
    <m/>
    <m/>
    <m/>
    <s v=""/>
    <m/>
    <n v="0"/>
  </r>
  <r>
    <x v="61"/>
    <s v="Crédit Agricole"/>
    <d v="2006-03-06T00:00:00"/>
    <d v="2021-03-06T00:00:00"/>
    <n v="15"/>
    <s v="Fixe"/>
    <s v="Non_st"/>
    <x v="5"/>
    <n v="0"/>
    <m/>
    <m/>
    <m/>
    <m/>
    <m/>
    <m/>
    <m/>
    <m/>
    <m/>
    <m/>
    <m/>
    <m/>
    <s v=""/>
    <m/>
    <n v="0"/>
  </r>
  <r>
    <x v="62"/>
    <s v="Dexia CL"/>
    <d v="2006-05-12T00:00:00"/>
    <d v="2008-04-01T00:00:00"/>
    <n v="16.670000000000002"/>
    <s v="Fixe"/>
    <s v="Non_st"/>
    <x v="5"/>
    <n v="0"/>
    <m/>
    <m/>
    <m/>
    <m/>
    <m/>
    <m/>
    <m/>
    <m/>
    <m/>
    <m/>
    <m/>
    <m/>
    <s v=""/>
    <m/>
    <n v="0"/>
  </r>
  <r>
    <x v="63"/>
    <s v="Dexia CL"/>
    <d v="2006-07-01T00:00:00"/>
    <d v="2011-07-13T00:00:00"/>
    <n v="20"/>
    <s v="Change"/>
    <s v="Struct"/>
    <x v="5"/>
    <n v="0"/>
    <m/>
    <m/>
    <m/>
    <m/>
    <m/>
    <m/>
    <m/>
    <m/>
    <m/>
    <m/>
    <m/>
    <m/>
    <s v=""/>
    <m/>
    <n v="0"/>
  </r>
  <r>
    <x v="64"/>
    <s v="Dexia CL"/>
    <d v="2006-07-01T00:00:00"/>
    <d v="2008-12-01T00:00:00"/>
    <n v="19.75"/>
    <s v="Pente"/>
    <s v="Struct"/>
    <x v="5"/>
    <n v="0"/>
    <m/>
    <m/>
    <m/>
    <m/>
    <m/>
    <m/>
    <m/>
    <m/>
    <m/>
    <m/>
    <m/>
    <m/>
    <s v=""/>
    <m/>
    <n v="0"/>
  </r>
  <r>
    <x v="65"/>
    <s v="Dexia CL"/>
    <d v="2006-10-01T00:00:00"/>
    <d v="2009-10-01T00:00:00"/>
    <n v="19"/>
    <s v="Change"/>
    <s v="Struct"/>
    <x v="5"/>
    <n v="0"/>
    <m/>
    <m/>
    <m/>
    <m/>
    <m/>
    <m/>
    <m/>
    <m/>
    <m/>
    <m/>
    <m/>
    <m/>
    <s v=""/>
    <m/>
    <n v="0"/>
  </r>
  <r>
    <x v="66"/>
    <s v="Dexia CL"/>
    <d v="2006-10-01T00:00:00"/>
    <d v="2008-12-01T00:00:00"/>
    <n v="19.170000000000002"/>
    <s v="Change"/>
    <s v="Struct"/>
    <x v="5"/>
    <n v="0"/>
    <m/>
    <m/>
    <m/>
    <m/>
    <m/>
    <m/>
    <m/>
    <m/>
    <m/>
    <m/>
    <m/>
    <m/>
    <s v=""/>
    <m/>
    <n v="0"/>
  </r>
  <r>
    <x v="67"/>
    <s v="Caisse d'Épargne"/>
    <d v="2006-11-29T00:00:00"/>
    <d v="2009-11-25T00:00:00"/>
    <n v="20"/>
    <s v="Pente"/>
    <s v="Struct"/>
    <x v="5"/>
    <n v="0"/>
    <m/>
    <m/>
    <m/>
    <m/>
    <m/>
    <m/>
    <m/>
    <m/>
    <m/>
    <m/>
    <m/>
    <m/>
    <s v=""/>
    <m/>
    <n v="0"/>
  </r>
  <r>
    <x v="13"/>
    <s v="Crédit Mutuel"/>
    <d v="1999-12-01T00:00:00"/>
    <d v="2014-11-30T00:00:00"/>
    <n v="15"/>
    <s v="Fixe à phase"/>
    <s v="Non_st"/>
    <x v="6"/>
    <n v="1"/>
    <m/>
    <s v="A"/>
    <d v="2000-11-30T00:00:00"/>
    <d v="2000-11-30T00:00:00"/>
    <n v="1524490.17"/>
    <n v="1071071"/>
    <n v="3.5249999999999997E-2"/>
    <n v="41780.730000000003"/>
    <n v="114197.74"/>
    <m/>
    <n v="3206.61"/>
    <n v="155978.47"/>
    <n v="0"/>
    <m/>
    <n v="0"/>
  </r>
  <r>
    <x v="12"/>
    <s v="Crédit Mutuel"/>
    <d v="2001-02-28T00:00:00"/>
    <d v="2016-02-29T00:00:00"/>
    <n v="15"/>
    <s v="Fixe"/>
    <s v="Non_st"/>
    <x v="6"/>
    <n v="1"/>
    <m/>
    <m/>
    <d v="2002-02-28T00:00:00"/>
    <d v="2004-02-28T00:00:00"/>
    <n v="609796.06999999995"/>
    <n v="469074"/>
    <n v="4.99E-2"/>
    <n v="25747.47"/>
    <n v="46907.39"/>
    <m/>
    <n v="13893.56"/>
    <n v="72654.86"/>
    <n v="0"/>
    <m/>
    <n v="0"/>
  </r>
  <r>
    <x v="15"/>
    <s v="Caisse d'Épargne"/>
    <d v="2001-10-25T00:00:00"/>
    <d v="2006-02-25T00:00:00"/>
    <n v="19"/>
    <s v="Pente"/>
    <s v="Struct"/>
    <x v="6"/>
    <n v="1"/>
    <m/>
    <m/>
    <d v="2001-11-25T00:00:00"/>
    <d v="2005-02-25T00:00:00"/>
    <n v="11859925.98"/>
    <n v="0"/>
    <n v="1.1299999999999999E-2"/>
    <n v="130527.06"/>
    <n v="478489.89"/>
    <m/>
    <n v="0"/>
    <n v="609016.94999999995"/>
    <n v="0"/>
    <m/>
    <n v="10915000"/>
  </r>
  <r>
    <x v="16"/>
    <s v="Dexia CL"/>
    <d v="2001-11-26T00:00:00"/>
    <d v="2006-03-01T00:00:00"/>
    <n v="20"/>
    <s v="Annulable"/>
    <s v="Struct"/>
    <x v="6"/>
    <n v="1"/>
    <m/>
    <m/>
    <m/>
    <m/>
    <m/>
    <m/>
    <m/>
    <m/>
    <m/>
    <m/>
    <m/>
    <m/>
    <s v=""/>
    <m/>
    <n v="2401000"/>
  </r>
  <r>
    <x v="17"/>
    <s v="CDC"/>
    <d v="2002-01-25T00:00:00"/>
    <d v="2009-01-25T00:00:00"/>
    <n v="7"/>
    <s v="Fixe"/>
    <s v="Non_st"/>
    <x v="6"/>
    <n v="1"/>
    <m/>
    <m/>
    <m/>
    <m/>
    <m/>
    <m/>
    <m/>
    <m/>
    <m/>
    <m/>
    <m/>
    <m/>
    <s v=""/>
    <m/>
    <n v="0"/>
  </r>
  <r>
    <x v="18"/>
    <s v="CDC"/>
    <d v="2002-02-01T00:00:00"/>
    <d v="2022-02-01T00:00:00"/>
    <n v="20"/>
    <s v="Livret A"/>
    <s v="Livr_A"/>
    <x v="6"/>
    <n v="1"/>
    <m/>
    <m/>
    <d v="2003-02-01T00:00:00"/>
    <d v="2003-02-01T00:00:00"/>
    <n v="2137796"/>
    <n v="1793716"/>
    <n v="2.2499999999999999E-2"/>
    <n v="42435.42"/>
    <n v="92302.49"/>
    <m/>
    <n v="36820.32"/>
    <n v="134737.91"/>
    <n v="0"/>
    <m/>
    <n v="0"/>
  </r>
  <r>
    <x v="19"/>
    <s v="CDC"/>
    <d v="2002-04-01T00:00:00"/>
    <d v="2022-04-01T00:00:00"/>
    <n v="20"/>
    <s v="Livret A"/>
    <s v="Livr_A"/>
    <x v="6"/>
    <n v="1"/>
    <m/>
    <m/>
    <m/>
    <m/>
    <m/>
    <m/>
    <m/>
    <m/>
    <m/>
    <m/>
    <m/>
    <m/>
    <s v=""/>
    <m/>
    <n v="0"/>
  </r>
  <r>
    <x v="20"/>
    <s v="Crédit Agricole"/>
    <d v="2002-04-15T00:00:00"/>
    <d v="2017-04-18T00:00:00"/>
    <n v="15"/>
    <s v="Barrière hors zone EUR"/>
    <s v="Struct"/>
    <x v="6"/>
    <n v="1"/>
    <m/>
    <s v="A"/>
    <d v="2003-04-15T00:00:00"/>
    <d v="2003-04-15T00:00:00"/>
    <n v="13097112.84"/>
    <n v="10236183"/>
    <n v="3.8553999999999998E-2"/>
    <n v="281272.55"/>
    <n v="752551.99"/>
    <m/>
    <n v="277684.90999999997"/>
    <n v="1033824.54"/>
    <n v="0"/>
    <m/>
    <n v="0"/>
  </r>
  <r>
    <x v="22"/>
    <s v="Dexia CL"/>
    <d v="2002-05-01T00:00:00"/>
    <d v="2005-07-01T00:00:00"/>
    <n v="19.25"/>
    <s v="Barrière hors zone EUR"/>
    <s v="Struct"/>
    <x v="6"/>
    <n v="1"/>
    <m/>
    <m/>
    <m/>
    <m/>
    <m/>
    <m/>
    <m/>
    <m/>
    <m/>
    <m/>
    <m/>
    <m/>
    <s v=""/>
    <m/>
    <n v="0"/>
  </r>
  <r>
    <x v="28"/>
    <s v="CDC"/>
    <d v="2002-12-31T00:00:00"/>
    <d v="2023-01-01T00:00:00"/>
    <n v="20"/>
    <s v="Livret A"/>
    <s v="Livr_A"/>
    <x v="6"/>
    <n v="1"/>
    <m/>
    <m/>
    <m/>
    <m/>
    <m/>
    <n v="3705039"/>
    <n v="3.2000000000000001E-2"/>
    <n v="133875.68"/>
    <n v="175415.67"/>
    <m/>
    <n v="118236.41"/>
    <n v="309291.34999999998"/>
    <n v="0"/>
    <m/>
    <n v="0"/>
  </r>
  <r>
    <x v="29"/>
    <s v="Dexia CL"/>
    <d v="2003-01-01T00:00:00"/>
    <d v="2007-09-25T00:00:00"/>
    <n v="14"/>
    <s v="Barrière hors zone EUR"/>
    <s v="Struct"/>
    <x v="6"/>
    <n v="1"/>
    <m/>
    <m/>
    <m/>
    <m/>
    <m/>
    <n v="10113494"/>
    <n v="3.9385999999999997E-2"/>
    <n v="300297.3"/>
    <n v="637273.54"/>
    <m/>
    <n v="396968.11"/>
    <n v="937570.84000000008"/>
    <n v="0"/>
    <m/>
    <n v="0"/>
  </r>
  <r>
    <x v="31"/>
    <s v="Dexia CL"/>
    <d v="2003-03-01T00:00:00"/>
    <d v="2005-04-01T00:00:00"/>
    <n v="15"/>
    <s v="Barrière"/>
    <s v="Struct"/>
    <x v="6"/>
    <n v="1"/>
    <m/>
    <m/>
    <m/>
    <m/>
    <m/>
    <m/>
    <m/>
    <m/>
    <m/>
    <m/>
    <m/>
    <m/>
    <s v=""/>
    <m/>
    <n v="0"/>
  </r>
  <r>
    <x v="32"/>
    <s v="Dexia CL"/>
    <d v="2003-05-01T00:00:00"/>
    <d v="2005-04-01T00:00:00"/>
    <n v="8"/>
    <s v="Barrière"/>
    <s v="Struct"/>
    <x v="6"/>
    <n v="1"/>
    <m/>
    <m/>
    <m/>
    <m/>
    <m/>
    <m/>
    <m/>
    <m/>
    <m/>
    <m/>
    <m/>
    <m/>
    <s v=""/>
    <m/>
    <n v="0"/>
  </r>
  <r>
    <x v="33"/>
    <s v="Dexia CL"/>
    <d v="2003-05-15T00:00:00"/>
    <d v="2008-04-01T00:00:00"/>
    <n v="20"/>
    <s v="Barrière hors zone EUR"/>
    <s v="Struct"/>
    <x v="6"/>
    <n v="1"/>
    <m/>
    <m/>
    <m/>
    <m/>
    <m/>
    <n v="10343514"/>
    <n v="4.0076000000000001E-2"/>
    <n v="424028.63"/>
    <n v="244334.4"/>
    <m/>
    <n v="377926.14"/>
    <n v="668363.03"/>
    <n v="0"/>
    <m/>
    <n v="0"/>
  </r>
  <r>
    <x v="34"/>
    <s v="Dexia CL"/>
    <d v="2003-05-31T00:00:00"/>
    <d v="2005-04-01T00:00:00"/>
    <n v="20"/>
    <s v="Barrière"/>
    <s v="Struct"/>
    <x v="6"/>
    <n v="1"/>
    <m/>
    <m/>
    <m/>
    <m/>
    <m/>
    <m/>
    <m/>
    <m/>
    <m/>
    <m/>
    <m/>
    <m/>
    <s v=""/>
    <m/>
    <n v="0"/>
  </r>
  <r>
    <x v="35"/>
    <s v="Caisse d'Épargne"/>
    <d v="2003-07-01T00:00:00"/>
    <d v="2006-02-25T00:00:00"/>
    <n v="20"/>
    <s v="Barrière hors zone EUR"/>
    <s v="Struct"/>
    <x v="6"/>
    <n v="1"/>
    <m/>
    <m/>
    <m/>
    <m/>
    <m/>
    <n v="0"/>
    <n v="3.2899999999999999E-2"/>
    <n v="17047.21"/>
    <n v="0"/>
    <m/>
    <n v="0"/>
    <n v="17047.21"/>
    <n v="0"/>
    <m/>
    <n v="780000"/>
  </r>
  <r>
    <x v="37"/>
    <s v="Caisse d'Épargne"/>
    <d v="2003-09-01T00:00:00"/>
    <d v="2006-09-01T00:00:00"/>
    <n v="3"/>
    <s v="Fixe"/>
    <s v="Non_st"/>
    <x v="6"/>
    <n v="1"/>
    <m/>
    <m/>
    <m/>
    <m/>
    <m/>
    <n v="0"/>
    <m/>
    <n v="3012.43"/>
    <n v="247645.31"/>
    <m/>
    <n v="0"/>
    <n v="250657.74"/>
    <n v="0"/>
    <m/>
    <n v="0"/>
  </r>
  <r>
    <x v="38"/>
    <s v="Caisse d'Épargne"/>
    <d v="2004-02-05T00:00:00"/>
    <d v="2011-06-25T00:00:00"/>
    <n v="7"/>
    <s v="Fixe"/>
    <s v="Non_st"/>
    <x v="6"/>
    <n v="1"/>
    <m/>
    <m/>
    <m/>
    <m/>
    <m/>
    <n v="2786347"/>
    <n v="3.7999999999999999E-2"/>
    <n v="124789.49"/>
    <n v="497587.20000000001"/>
    <m/>
    <n v="54826.15"/>
    <n v="622376.69000000006"/>
    <n v="0"/>
    <m/>
    <n v="0"/>
  </r>
  <r>
    <x v="39"/>
    <s v="Dexia CL"/>
    <d v="2004-03-31T00:00:00"/>
    <d v="2007-04-01T00:00:00"/>
    <n v="3"/>
    <s v="Fixe"/>
    <s v="Non_st"/>
    <x v="6"/>
    <n v="1"/>
    <m/>
    <m/>
    <m/>
    <m/>
    <m/>
    <n v="59298"/>
    <n v="2.7300000000000001E-2"/>
    <n v="4246.57"/>
    <n v="59298.12"/>
    <m/>
    <n v="1218.58"/>
    <n v="63544.69"/>
    <n v="0"/>
    <m/>
    <n v="0"/>
  </r>
  <r>
    <x v="40"/>
    <s v="Dexia CL"/>
    <d v="2004-04-10T00:00:00"/>
    <d v="2005-12-01T00:00:00"/>
    <n v="17.75"/>
    <s v="Barrière avec multiplicateur"/>
    <s v="Struct"/>
    <x v="6"/>
    <n v="1"/>
    <m/>
    <m/>
    <m/>
    <m/>
    <m/>
    <m/>
    <m/>
    <m/>
    <m/>
    <m/>
    <m/>
    <m/>
    <s v=""/>
    <m/>
    <n v="0"/>
  </r>
  <r>
    <x v="41"/>
    <s v="Dexia CL"/>
    <d v="2004-04-10T00:00:00"/>
    <d v="2005-07-01T00:00:00"/>
    <n v="15"/>
    <s v="Barrière hors zone EUR"/>
    <s v="Struct"/>
    <x v="6"/>
    <n v="1"/>
    <m/>
    <m/>
    <m/>
    <m/>
    <m/>
    <m/>
    <m/>
    <m/>
    <m/>
    <m/>
    <m/>
    <m/>
    <s v=""/>
    <m/>
    <n v="0"/>
  </r>
  <r>
    <x v="42"/>
    <s v="Dexia CL"/>
    <d v="2004-04-15T00:00:00"/>
    <d v="2005-04-01T00:00:00"/>
    <n v="15"/>
    <s v="Variable hors zone EUR"/>
    <s v="Struct"/>
    <x v="6"/>
    <n v="1"/>
    <m/>
    <m/>
    <m/>
    <m/>
    <m/>
    <m/>
    <m/>
    <m/>
    <m/>
    <m/>
    <m/>
    <m/>
    <s v=""/>
    <m/>
    <n v="0"/>
  </r>
  <r>
    <x v="43"/>
    <s v="Dexia CL"/>
    <d v="2004-04-29T00:00:00"/>
    <d v="2007-05-01T00:00:00"/>
    <n v="21"/>
    <s v="Barrière"/>
    <s v="Struct"/>
    <x v="6"/>
    <n v="1"/>
    <m/>
    <m/>
    <m/>
    <m/>
    <m/>
    <n v="7504022"/>
    <n v="4.0988999999999998E-2"/>
    <n v="317778.73"/>
    <n v="254037.74"/>
    <m/>
    <n v="205476.79"/>
    <n v="571816.47"/>
    <n v="0"/>
    <m/>
    <n v="0"/>
  </r>
  <r>
    <x v="44"/>
    <s v="Dexia CL"/>
    <d v="2004-06-15T00:00:00"/>
    <d v="2005-02-01T00:00:00"/>
    <n v="10"/>
    <s v="Change"/>
    <s v="Struct"/>
    <x v="6"/>
    <n v="1"/>
    <m/>
    <m/>
    <m/>
    <m/>
    <m/>
    <m/>
    <m/>
    <m/>
    <m/>
    <m/>
    <m/>
    <m/>
    <s v=""/>
    <m/>
    <n v="0"/>
  </r>
  <r>
    <x v="45"/>
    <s v="Dexia CL"/>
    <d v="2004-07-25T00:00:00"/>
    <d v="2006-03-01T00:00:00"/>
    <n v="18"/>
    <s v="Pente"/>
    <s v="Struct"/>
    <x v="6"/>
    <n v="1"/>
    <m/>
    <m/>
    <m/>
    <m/>
    <m/>
    <n v="0"/>
    <m/>
    <n v="360002.91"/>
    <n v="937710.32"/>
    <m/>
    <n v="0"/>
    <n v="1297713.23"/>
    <n v="0"/>
    <m/>
    <n v="8844000"/>
  </r>
  <r>
    <x v="46"/>
    <s v="Dexia CL"/>
    <d v="2005-02-01T00:00:00"/>
    <d v="2007-06-30T00:00:00"/>
    <n v="15"/>
    <s v="Change"/>
    <s v="Struct"/>
    <x v="6"/>
    <n v="1"/>
    <m/>
    <m/>
    <m/>
    <m/>
    <n v="11000000"/>
    <n v="10490235"/>
    <n v="3.5709999999999999E-2"/>
    <n v="285704.05"/>
    <n v="509765.16"/>
    <m/>
    <n v="341528.08"/>
    <n v="795469.21"/>
    <n v="0"/>
    <m/>
    <n v="0"/>
  </r>
  <r>
    <x v="47"/>
    <s v="Dexia CL"/>
    <d v="2005-02-23T00:00:00"/>
    <d v="2007-02-01T00:00:00"/>
    <n v="17"/>
    <s v="Barrière avec multiplicateur"/>
    <s v="Struct"/>
    <x v="6"/>
    <n v="1"/>
    <m/>
    <m/>
    <m/>
    <m/>
    <n v="10833098.460000001"/>
    <n v="9657641"/>
    <n v="4.0176999999999997E-2"/>
    <n v="54917.79"/>
    <n v="1175457.19"/>
    <m/>
    <n v="63507.05"/>
    <n v="1230374.98"/>
    <n v="0"/>
    <m/>
    <n v="0"/>
  </r>
  <r>
    <x v="48"/>
    <s v="Dexia CL"/>
    <d v="2005-02-23T00:00:00"/>
    <d v="2007-05-01T00:00:00"/>
    <n v="15"/>
    <s v="Variable hors zone EUR"/>
    <s v="Struct"/>
    <x v="6"/>
    <n v="1"/>
    <m/>
    <m/>
    <m/>
    <m/>
    <m/>
    <n v="8000000"/>
    <n v="3.6525000000000002E-2"/>
    <n v="0"/>
    <n v="0"/>
    <m/>
    <n v="164400"/>
    <n v="0"/>
    <n v="0"/>
    <m/>
    <n v="0"/>
  </r>
  <r>
    <x v="49"/>
    <s v="Crédit Mutuel"/>
    <d v="2005-03-24T00:00:00"/>
    <d v="2010-03-23T00:00:00"/>
    <n v="5"/>
    <s v="Fixe"/>
    <s v="Non_st"/>
    <x v="6"/>
    <n v="1"/>
    <m/>
    <m/>
    <m/>
    <m/>
    <m/>
    <n v="1467702"/>
    <n v="2.9700000000000001E-2"/>
    <n v="50415.28"/>
    <n v="340854.16"/>
    <m/>
    <n v="36544.57"/>
    <n v="391269.43999999994"/>
    <n v="0"/>
    <m/>
    <n v="0"/>
  </r>
  <r>
    <x v="50"/>
    <s v="Dexia CL"/>
    <d v="2005-04-01T00:00:00"/>
    <d v="2006-07-01T00:00:00"/>
    <n v="19"/>
    <s v="Change"/>
    <s v="Struct"/>
    <x v="6"/>
    <n v="1"/>
    <m/>
    <m/>
    <m/>
    <m/>
    <n v="14472154.99"/>
    <n v="0"/>
    <m/>
    <n v="511093.57"/>
    <n v="417687.64"/>
    <m/>
    <n v="0"/>
    <n v="928781.21"/>
    <n v="0"/>
    <m/>
    <n v="14054000"/>
  </r>
  <r>
    <x v="51"/>
    <s v="Dexia CL"/>
    <d v="2005-04-01T00:00:00"/>
    <d v="2007-05-01T00:00:00"/>
    <n v="15"/>
    <s v="Change"/>
    <s v="Struct"/>
    <x v="6"/>
    <n v="1"/>
    <m/>
    <m/>
    <m/>
    <m/>
    <n v="6992442.4100000001"/>
    <n v="6668397"/>
    <n v="3.2760999999999998E-2"/>
    <n v="168944.21"/>
    <n v="324045.78000000003"/>
    <m/>
    <n v="163884.37"/>
    <n v="492989.99"/>
    <n v="0"/>
    <m/>
    <n v="0"/>
  </r>
  <r>
    <x v="52"/>
    <s v="CDC"/>
    <d v="2005-05-01T00:00:00"/>
    <d v="2011-04-30T00:00:00"/>
    <n v="6"/>
    <s v="Variable"/>
    <s v="Non_st"/>
    <x v="6"/>
    <n v="1"/>
    <m/>
    <m/>
    <m/>
    <m/>
    <n v="2503519"/>
    <n v="0"/>
    <m/>
    <n v="59776.73"/>
    <n v="2503519"/>
    <m/>
    <n v="0"/>
    <n v="2563295.73"/>
    <n v="0"/>
    <m/>
    <n v="0"/>
  </r>
  <r>
    <x v="53"/>
    <s v="CDC"/>
    <d v="2005-05-01T00:00:00"/>
    <d v="2013-04-29T00:00:00"/>
    <n v="8"/>
    <s v="Variable"/>
    <s v="Non_st"/>
    <x v="6"/>
    <n v="1"/>
    <m/>
    <m/>
    <m/>
    <m/>
    <m/>
    <n v="3031453"/>
    <n v="3.5186000000000002E-2"/>
    <n v="81780.759999999995"/>
    <n v="393620.71"/>
    <m/>
    <n v="71255.31"/>
    <n v="475401.47000000003"/>
    <n v="0"/>
    <m/>
    <n v="0"/>
  </r>
  <r>
    <x v="54"/>
    <s v="Dexia CL"/>
    <d v="2005-06-01T00:00:00"/>
    <d v="2006-03-29T00:00:00"/>
    <n v="17.25"/>
    <s v="Change"/>
    <s v="Struct"/>
    <x v="6"/>
    <n v="1"/>
    <m/>
    <m/>
    <m/>
    <m/>
    <n v="12417987.689999999"/>
    <n v="0"/>
    <n v="3.9899999999999998E-2"/>
    <n v="333071.13"/>
    <n v="483764.91"/>
    <m/>
    <n v="0"/>
    <n v="816836.04"/>
    <n v="0"/>
    <n v="3691337.91"/>
    <n v="12455000"/>
  </r>
  <r>
    <x v="55"/>
    <s v="Dexia CL"/>
    <d v="2005-07-01T00:00:00"/>
    <d v="2006-07-01T00:00:00"/>
    <n v="16"/>
    <s v="Pente"/>
    <s v="Struct"/>
    <x v="6"/>
    <n v="1"/>
    <m/>
    <m/>
    <m/>
    <m/>
    <m/>
    <n v="0"/>
    <n v="4.4999999999999998E-2"/>
    <n v="773918.04"/>
    <n v="445000"/>
    <m/>
    <n v="0"/>
    <n v="1218918.04"/>
    <n v="0"/>
    <m/>
    <n v="16518000"/>
  </r>
  <r>
    <x v="56"/>
    <s v="Dexia CL"/>
    <d v="2005-12-01T00:00:00"/>
    <d v="2006-03-29T00:00:00"/>
    <n v="16"/>
    <s v="Pente"/>
    <s v="Struct"/>
    <x v="6"/>
    <n v="1"/>
    <m/>
    <m/>
    <m/>
    <m/>
    <n v="12870042"/>
    <n v="0"/>
    <m/>
    <n v="489329.72"/>
    <n v="415000"/>
    <m/>
    <n v="0"/>
    <n v="904329.72"/>
    <n v="0"/>
    <n v="-2500042"/>
    <n v="9955000"/>
  </r>
  <r>
    <x v="57"/>
    <s v="Dexia CL"/>
    <d v="2005-12-23T00:00:00"/>
    <d v="2007-05-01T00:00:00"/>
    <n v="18.170000000000002"/>
    <s v="Pente"/>
    <s v="Struct"/>
    <x v="6"/>
    <n v="1"/>
    <m/>
    <m/>
    <m/>
    <m/>
    <m/>
    <n v="0"/>
    <m/>
    <m/>
    <m/>
    <m/>
    <n v="0"/>
    <n v="0"/>
    <n v="0"/>
    <m/>
    <n v="0"/>
  </r>
  <r>
    <x v="58"/>
    <s v="Caisse d'Épargne"/>
    <d v="2006-02-25T00:00:00"/>
    <d v="2007-07-25T00:00:00"/>
    <n v="20"/>
    <s v="Pente"/>
    <s v="Struct"/>
    <x v="6"/>
    <n v="1"/>
    <m/>
    <m/>
    <m/>
    <m/>
    <n v="15694824"/>
    <n v="15694824"/>
    <n v="2.6481000000000001E-2"/>
    <n v="64562.95"/>
    <n v="0"/>
    <m/>
    <n v="284468.68"/>
    <n v="64562.95"/>
    <n v="0"/>
    <m/>
    <n v="0"/>
  </r>
  <r>
    <x v="59"/>
    <s v="Dexia CL"/>
    <d v="2006-03-01T00:00:00"/>
    <d v="2010-10-01T00:00:00"/>
    <n v="16.25"/>
    <s v="Change"/>
    <s v="Struct"/>
    <x v="6"/>
    <n v="1"/>
    <m/>
    <m/>
    <m/>
    <m/>
    <n v="11244942"/>
    <n v="11244942"/>
    <n v="2.9423000000000001E-2"/>
    <n v="0"/>
    <n v="0"/>
    <m/>
    <n v="276281.96999999997"/>
    <n v="0"/>
    <n v="0"/>
    <m/>
    <n v="0"/>
  </r>
  <r>
    <x v="60"/>
    <s v="Crédit Agricole"/>
    <d v="2006-03-06T00:00:00"/>
    <d v="2021-03-02T00:00:00"/>
    <n v="15"/>
    <s v="Barrière"/>
    <s v="Struct"/>
    <x v="6"/>
    <n v="1"/>
    <m/>
    <m/>
    <m/>
    <m/>
    <m/>
    <m/>
    <m/>
    <m/>
    <m/>
    <m/>
    <m/>
    <m/>
    <s v=""/>
    <m/>
    <n v="0"/>
  </r>
  <r>
    <x v="61"/>
    <s v="Crédit Agricole"/>
    <d v="2006-03-06T00:00:00"/>
    <d v="2021-03-06T00:00:00"/>
    <n v="15"/>
    <s v="Fixe"/>
    <s v="Non_st"/>
    <x v="6"/>
    <n v="1"/>
    <m/>
    <m/>
    <m/>
    <m/>
    <n v="5000000"/>
    <n v="5000000"/>
    <n v="3.6200000000000003E-2"/>
    <m/>
    <m/>
    <m/>
    <n v="148767.12"/>
    <n v="0"/>
    <n v="0"/>
    <m/>
    <n v="0"/>
  </r>
  <r>
    <x v="62"/>
    <s v="Dexia CL"/>
    <d v="2006-05-12T00:00:00"/>
    <d v="2008-04-01T00:00:00"/>
    <n v="16.670000000000002"/>
    <s v="Fixe"/>
    <s v="Non_st"/>
    <x v="6"/>
    <n v="1"/>
    <m/>
    <m/>
    <m/>
    <m/>
    <m/>
    <n v="7500000"/>
    <m/>
    <m/>
    <m/>
    <m/>
    <m/>
    <n v="0"/>
    <n v="0"/>
    <m/>
    <n v="0"/>
  </r>
  <r>
    <x v="63"/>
    <s v="Dexia CL"/>
    <d v="2006-07-01T00:00:00"/>
    <d v="2011-07-13T00:00:00"/>
    <n v="20"/>
    <s v="Change"/>
    <s v="Struct"/>
    <x v="6"/>
    <n v="1"/>
    <m/>
    <m/>
    <m/>
    <m/>
    <m/>
    <n v="16517587"/>
    <n v="3.9975000000000004E-2"/>
    <n v="0"/>
    <n v="0"/>
    <m/>
    <n v="330819.74"/>
    <n v="0"/>
    <n v="0"/>
    <m/>
    <n v="0"/>
  </r>
  <r>
    <x v="64"/>
    <s v="Dexia CL"/>
    <d v="2006-07-01T00:00:00"/>
    <d v="2008-12-01T00:00:00"/>
    <n v="19.75"/>
    <s v="Pente"/>
    <s v="Struct"/>
    <x v="6"/>
    <n v="1"/>
    <m/>
    <m/>
    <m/>
    <m/>
    <m/>
    <n v="14054467"/>
    <n v="3.1600000000000003E-2"/>
    <n v="0"/>
    <n v="0"/>
    <m/>
    <n v="225761.6"/>
    <n v="0"/>
    <n v="0"/>
    <m/>
    <n v="0"/>
  </r>
  <r>
    <x v="65"/>
    <s v="Dexia CL"/>
    <d v="2006-10-01T00:00:00"/>
    <d v="2009-10-01T00:00:00"/>
    <n v="19"/>
    <s v="Change"/>
    <s v="Struct"/>
    <x v="6"/>
    <n v="1"/>
    <m/>
    <m/>
    <m/>
    <m/>
    <m/>
    <n v="8533804"/>
    <n v="3.6378000000000001E-2"/>
    <n v="23877.37"/>
    <n v="0"/>
    <m/>
    <n v="25530.3"/>
    <n v="23877.37"/>
    <n v="0"/>
    <m/>
    <n v="0"/>
  </r>
  <r>
    <x v="68"/>
    <s v="Dexia CL"/>
    <d v="2006-03-29T00:00:00"/>
    <d v="2007-02-01T00:00:00"/>
    <n v="19.079999999999998"/>
    <s v="Pente"/>
    <s v="Struct"/>
    <x v="6"/>
    <n v="1"/>
    <m/>
    <s v="A"/>
    <m/>
    <m/>
    <n v="10344246.199999999"/>
    <n v="7343608"/>
    <n v="3.6380000000000003E-2"/>
    <n v="20547.240000000002"/>
    <n v="0"/>
    <m/>
    <n v="21969.63"/>
    <n v="20547.240000000002"/>
    <n v="0"/>
    <m/>
    <n v="0"/>
  </r>
  <r>
    <x v="66"/>
    <s v="Dexia CL"/>
    <d v="2006-10-01T00:00:00"/>
    <d v="2008-12-01T00:00:00"/>
    <n v="19.170000000000002"/>
    <s v="Change"/>
    <s v="Struct"/>
    <x v="6"/>
    <n v="1"/>
    <m/>
    <m/>
    <m/>
    <m/>
    <m/>
    <n v="8511853"/>
    <n v="3.6380000000000003E-2"/>
    <n v="23815.95"/>
    <n v="0"/>
    <m/>
    <n v="25464.63"/>
    <n v="23815.95"/>
    <n v="0"/>
    <m/>
    <n v="0"/>
  </r>
  <r>
    <x v="69"/>
    <s v="Société générale"/>
    <d v="2006-11-22T00:00:00"/>
    <d v="2007-10-01T00:00:00"/>
    <n v="20"/>
    <s v="Variable"/>
    <s v="Non_st"/>
    <x v="6"/>
    <n v="1"/>
    <m/>
    <m/>
    <m/>
    <m/>
    <n v="10000000"/>
    <n v="8000000"/>
    <n v="3.7793E-2"/>
    <n v="0"/>
    <n v="0"/>
    <m/>
    <n v="23669.89"/>
    <n v="0"/>
    <n v="0"/>
    <m/>
    <n v="0"/>
  </r>
  <r>
    <x v="70"/>
    <s v="Société générale"/>
    <d v="2007-10-01T00:00:00"/>
    <d v="2010-12-01T00:00:00"/>
    <n v="20"/>
    <s v="Barrière avec multiplicateur"/>
    <s v="Struct"/>
    <x v="6"/>
    <n v="0"/>
    <m/>
    <m/>
    <m/>
    <m/>
    <m/>
    <n v="0"/>
    <m/>
    <n v="0"/>
    <n v="0"/>
    <m/>
    <m/>
    <n v="0"/>
    <n v="0"/>
    <m/>
    <n v="0"/>
  </r>
  <r>
    <x v="71"/>
    <s v="Société générale"/>
    <d v="2007-10-01T00:00:00"/>
    <d v="2010-10-01T00:00:00"/>
    <n v="20.079999999999998"/>
    <s v="Écart d'inflation"/>
    <s v="Struct"/>
    <x v="6"/>
    <n v="0"/>
    <m/>
    <m/>
    <m/>
    <m/>
    <m/>
    <n v="0"/>
    <m/>
    <n v="0"/>
    <n v="0"/>
    <m/>
    <m/>
    <n v="0"/>
    <n v="0"/>
    <m/>
    <n v="0"/>
  </r>
  <r>
    <x v="72"/>
    <s v="Dexia CL"/>
    <d v="2007-02-01T00:00:00"/>
    <d v="2008-08-08T00:00:00"/>
    <n v="18.75"/>
    <s v="Change"/>
    <s v="Struct"/>
    <x v="6"/>
    <n v="0"/>
    <m/>
    <m/>
    <m/>
    <m/>
    <m/>
    <n v="0"/>
    <m/>
    <m/>
    <m/>
    <m/>
    <m/>
    <n v="0"/>
    <n v="0"/>
    <m/>
    <n v="0"/>
  </r>
  <r>
    <x v="73"/>
    <s v="Crédit Agricole"/>
    <d v="2007-04-10T00:00:00"/>
    <d v="2028-03-01T00:00:00"/>
    <n v="20"/>
    <s v="Pente"/>
    <s v="Struct"/>
    <x v="6"/>
    <n v="0"/>
    <m/>
    <m/>
    <m/>
    <m/>
    <m/>
    <m/>
    <m/>
    <m/>
    <m/>
    <m/>
    <m/>
    <m/>
    <s v=""/>
    <m/>
    <n v="0"/>
  </r>
  <r>
    <x v="74"/>
    <s v="Dexia CL"/>
    <d v="2007-05-01T00:00:00"/>
    <d v="2009-12-29T00:00:00"/>
    <n v="17"/>
    <s v="Courbes"/>
    <s v="Struct"/>
    <x v="6"/>
    <n v="0"/>
    <m/>
    <m/>
    <m/>
    <m/>
    <m/>
    <m/>
    <m/>
    <m/>
    <m/>
    <m/>
    <m/>
    <m/>
    <s v=""/>
    <m/>
    <n v="0"/>
  </r>
  <r>
    <x v="75"/>
    <s v="Dexia CL"/>
    <d v="2007-05-01T00:00:00"/>
    <d v="2009-12-29T00:00:00"/>
    <n v="16.920000000000002"/>
    <s v="Écart d'inflation"/>
    <s v="Struct"/>
    <x v="6"/>
    <n v="0"/>
    <m/>
    <m/>
    <m/>
    <m/>
    <m/>
    <m/>
    <m/>
    <m/>
    <m/>
    <m/>
    <m/>
    <m/>
    <s v=""/>
    <m/>
    <n v="0"/>
  </r>
  <r>
    <x v="76"/>
    <s v="Société générale"/>
    <d v="2007-05-24T00:00:00"/>
    <d v="2009-04-01T00:00:00"/>
    <n v="19"/>
    <s v="Change"/>
    <s v="Struct"/>
    <x v="6"/>
    <n v="0"/>
    <m/>
    <m/>
    <m/>
    <m/>
    <m/>
    <m/>
    <m/>
    <m/>
    <m/>
    <m/>
    <m/>
    <m/>
    <s v=""/>
    <m/>
    <n v="0"/>
  </r>
  <r>
    <x v="77"/>
    <s v="Caisse d'Épargne"/>
    <d v="2007-07-25T00:00:00"/>
    <d v="2012-02-25T00:00:00"/>
    <n v="18.579999999999998"/>
    <s v="Courbes"/>
    <s v="Struct"/>
    <x v="6"/>
    <n v="0"/>
    <m/>
    <m/>
    <m/>
    <m/>
    <m/>
    <m/>
    <m/>
    <m/>
    <m/>
    <m/>
    <m/>
    <m/>
    <s v=""/>
    <m/>
    <n v="0"/>
  </r>
  <r>
    <x v="78"/>
    <s v="Dexia CL"/>
    <d v="2007-08-30T00:00:00"/>
    <d v="2011-04-01T00:00:00"/>
    <n v="25"/>
    <s v="Courbes"/>
    <s v="Struct"/>
    <x v="6"/>
    <n v="0"/>
    <m/>
    <m/>
    <m/>
    <m/>
    <m/>
    <m/>
    <m/>
    <m/>
    <m/>
    <m/>
    <m/>
    <m/>
    <s v=""/>
    <m/>
    <n v="0"/>
  </r>
  <r>
    <x v="79"/>
    <s v="Société générale"/>
    <d v="2007-10-01T00:00:00"/>
    <d v="2010-09-01T00:00:00"/>
    <n v="20"/>
    <s v="Courbes"/>
    <s v="Struct"/>
    <x v="6"/>
    <n v="0"/>
    <m/>
    <m/>
    <m/>
    <m/>
    <m/>
    <m/>
    <m/>
    <m/>
    <m/>
    <m/>
    <m/>
    <m/>
    <s v=""/>
    <m/>
    <n v="0"/>
  </r>
  <r>
    <x v="80"/>
    <s v="Dexia CL"/>
    <d v="2007-09-25T00:00:00"/>
    <d v="2010-01-01T00:00:00"/>
    <n v="25.42"/>
    <s v="Barrière avec multiplicateur"/>
    <s v="Struct"/>
    <x v="6"/>
    <n v="0"/>
    <m/>
    <m/>
    <m/>
    <m/>
    <m/>
    <m/>
    <m/>
    <m/>
    <m/>
    <m/>
    <m/>
    <m/>
    <s v=""/>
    <m/>
    <n v="0"/>
  </r>
  <r>
    <x v="81"/>
    <s v="Dexia CL"/>
    <d v="2008-04-01T00:00:00"/>
    <d v="2008-12-01T00:00:00"/>
    <n v="26.42"/>
    <s v="Change"/>
    <s v="Struct"/>
    <x v="6"/>
    <n v="0"/>
    <m/>
    <m/>
    <m/>
    <m/>
    <m/>
    <n v="0"/>
    <m/>
    <n v="0"/>
    <n v="0"/>
    <m/>
    <n v="0"/>
    <n v="0"/>
    <n v="0"/>
    <m/>
    <n v="0"/>
  </r>
  <r>
    <x v="82"/>
    <s v="Caisse d'Épargne"/>
    <d v="2007-12-31T00:00:00"/>
    <d v="2013-02-25T00:00:00"/>
    <n v="20"/>
    <s v="Courbes"/>
    <s v="Struct"/>
    <x v="6"/>
    <n v="0"/>
    <m/>
    <m/>
    <m/>
    <m/>
    <m/>
    <m/>
    <m/>
    <m/>
    <m/>
    <m/>
    <m/>
    <m/>
    <s v=""/>
    <m/>
    <n v="0"/>
  </r>
  <r>
    <x v="67"/>
    <s v="Caisse d'Épargne"/>
    <d v="2006-11-29T00:00:00"/>
    <d v="2009-11-25T00:00:00"/>
    <n v="20"/>
    <s v="Pente"/>
    <s v="Struct"/>
    <x v="6"/>
    <n v="1"/>
    <m/>
    <m/>
    <m/>
    <m/>
    <m/>
    <n v="5000000"/>
    <n v="3.3988999999999998E-2"/>
    <n v="0"/>
    <n v="0"/>
    <m/>
    <n v="14423.61"/>
    <n v="0"/>
    <n v="0"/>
    <m/>
    <n v="0"/>
  </r>
  <r>
    <x v="83"/>
    <s v="Société générale"/>
    <d v="2010-12-18T00:00:00"/>
    <d v="2026-03-31T00:00:00"/>
    <n v="15"/>
    <s v="Variable"/>
    <s v="Non_st"/>
    <x v="6"/>
    <n v="0"/>
    <m/>
    <m/>
    <m/>
    <m/>
    <m/>
    <m/>
    <m/>
    <m/>
    <m/>
    <m/>
    <m/>
    <m/>
    <s v=""/>
    <m/>
    <n v="0"/>
  </r>
  <r>
    <x v="84"/>
    <s v="Dexia CL"/>
    <d v="2011-07-13T00:00:00"/>
    <d v="2016-10-01T00:00:00"/>
    <n v="15"/>
    <s v="Change"/>
    <s v="Struct"/>
    <x v="6"/>
    <n v="0"/>
    <m/>
    <m/>
    <m/>
    <m/>
    <m/>
    <m/>
    <m/>
    <m/>
    <m/>
    <m/>
    <m/>
    <m/>
    <s v=""/>
    <m/>
    <n v="0"/>
  </r>
  <r>
    <x v="13"/>
    <s v="Crédit Mutuel"/>
    <d v="1999-12-01T00:00:00"/>
    <d v="2014-11-30T00:00:00"/>
    <n v="15"/>
    <s v="Fixe à phase"/>
    <s v="Non_st"/>
    <x v="7"/>
    <n v="1"/>
    <m/>
    <s v="A"/>
    <d v="2000-11-30T00:00:00"/>
    <d v="2000-11-30T00:00:00"/>
    <n v="1524490.17"/>
    <n v="952848"/>
    <n v="3.5249999999999997E-2"/>
    <n v="37755.26"/>
    <n v="118223.21"/>
    <m/>
    <n v="2844.88"/>
    <n v="155978.47"/>
    <n v="0"/>
    <m/>
    <n v="0"/>
  </r>
  <r>
    <x v="12"/>
    <s v="Crédit Mutuel"/>
    <d v="2001-02-28T00:00:00"/>
    <d v="2016-02-29T00:00:00"/>
    <n v="15"/>
    <s v="Fixe"/>
    <s v="Non_st"/>
    <x v="7"/>
    <n v="1"/>
    <m/>
    <m/>
    <d v="2002-02-28T00:00:00"/>
    <d v="2004-02-28T00:00:00"/>
    <n v="609796.06999999995"/>
    <n v="422167"/>
    <n v="4.99E-2"/>
    <n v="16572.38"/>
    <n v="46907.39"/>
    <m/>
    <n v="17660.900000000001"/>
    <n v="63479.770000000004"/>
    <n v="0"/>
    <m/>
    <n v="0"/>
  </r>
  <r>
    <x v="15"/>
    <s v="Caisse d'Épargne"/>
    <d v="2001-10-25T00:00:00"/>
    <d v="2006-02-25T00:00:00"/>
    <n v="19"/>
    <s v="Pente"/>
    <s v="Struct"/>
    <x v="7"/>
    <n v="1"/>
    <m/>
    <m/>
    <m/>
    <m/>
    <m/>
    <m/>
    <m/>
    <m/>
    <m/>
    <m/>
    <m/>
    <n v="0"/>
    <n v="0"/>
    <m/>
    <n v="0"/>
  </r>
  <r>
    <x v="16"/>
    <s v="Dexia CL"/>
    <d v="2001-11-26T00:00:00"/>
    <d v="2006-03-01T00:00:00"/>
    <n v="20"/>
    <s v="Annulable"/>
    <s v="Struct"/>
    <x v="7"/>
    <n v="1"/>
    <m/>
    <m/>
    <m/>
    <m/>
    <m/>
    <m/>
    <m/>
    <m/>
    <m/>
    <m/>
    <m/>
    <n v="0"/>
    <n v="0"/>
    <m/>
    <n v="0"/>
  </r>
  <r>
    <x v="17"/>
    <s v="CDC"/>
    <d v="2002-01-25T00:00:00"/>
    <d v="2009-01-25T00:00:00"/>
    <n v="7"/>
    <s v="Fixe"/>
    <s v="Non_st"/>
    <x v="7"/>
    <n v="1"/>
    <m/>
    <m/>
    <m/>
    <m/>
    <m/>
    <m/>
    <m/>
    <m/>
    <m/>
    <m/>
    <m/>
    <n v="0"/>
    <n v="0"/>
    <m/>
    <n v="0"/>
  </r>
  <r>
    <x v="18"/>
    <s v="CDC"/>
    <d v="2002-02-01T00:00:00"/>
    <d v="2022-02-01T00:00:00"/>
    <n v="20"/>
    <s v="Livret A"/>
    <s v="Livr_A"/>
    <x v="7"/>
    <n v="1"/>
    <m/>
    <m/>
    <d v="2003-02-01T00:00:00"/>
    <d v="2003-02-01T00:00:00"/>
    <n v="2137796"/>
    <n v="1699337"/>
    <n v="2.75E-2"/>
    <n v="40353.61"/>
    <n v="94379.3"/>
    <m/>
    <n v="42634.73"/>
    <n v="134732.91"/>
    <n v="0"/>
    <m/>
    <n v="0"/>
  </r>
  <r>
    <x v="19"/>
    <s v="CDC"/>
    <d v="2002-04-01T00:00:00"/>
    <d v="2022-04-01T00:00:00"/>
    <n v="20"/>
    <s v="Livret A"/>
    <s v="Livr_A"/>
    <x v="7"/>
    <n v="1"/>
    <m/>
    <m/>
    <m/>
    <m/>
    <m/>
    <m/>
    <m/>
    <m/>
    <m/>
    <m/>
    <m/>
    <n v="0"/>
    <n v="0"/>
    <m/>
    <n v="0"/>
  </r>
  <r>
    <x v="20"/>
    <s v="Crédit Agricole"/>
    <d v="2002-04-15T00:00:00"/>
    <d v="2017-04-18T00:00:00"/>
    <n v="15"/>
    <s v="Barrière hors zone EUR"/>
    <s v="Struct"/>
    <x v="7"/>
    <n v="1"/>
    <m/>
    <m/>
    <d v="2003-04-15T00:00:00"/>
    <d v="2003-04-15T00:00:00"/>
    <n v="13097112.84"/>
    <n v="9457292"/>
    <n v="3.8553999999999998E-2"/>
    <n v="392216.43"/>
    <n v="778891.31"/>
    <m/>
    <n v="258551.86"/>
    <n v="1171107.74"/>
    <n v="0"/>
    <m/>
    <n v="0"/>
  </r>
  <r>
    <x v="28"/>
    <s v="CDC"/>
    <d v="2002-12-31T00:00:00"/>
    <d v="2023-01-01T00:00:00"/>
    <n v="20"/>
    <s v="Livret A"/>
    <s v="Livr_A"/>
    <x v="7"/>
    <n v="1"/>
    <m/>
    <m/>
    <m/>
    <m/>
    <n v="4190000"/>
    <n v="0"/>
    <m/>
    <n v="119891.84"/>
    <n v="3705038.86"/>
    <m/>
    <n v="0"/>
    <n v="3824930.6999999997"/>
    <n v="0"/>
    <m/>
    <n v="0"/>
  </r>
  <r>
    <x v="29"/>
    <s v="Dexia CL"/>
    <d v="2003-01-01T00:00:00"/>
    <d v="2007-09-25T00:00:00"/>
    <n v="14"/>
    <s v="Barrière hors zone EUR"/>
    <s v="Struct"/>
    <x v="7"/>
    <n v="1"/>
    <m/>
    <m/>
    <m/>
    <m/>
    <n v="11919139.83"/>
    <n v="716041"/>
    <n v="4.8364999999999998E-2"/>
    <n v="398058.68"/>
    <n v="675509.95"/>
    <m/>
    <n v="436665.37"/>
    <n v="1073568.6299999999"/>
    <n v="0"/>
    <m/>
    <n v="8722000"/>
  </r>
  <r>
    <x v="33"/>
    <s v="Dexia CL"/>
    <d v="2003-05-15T00:00:00"/>
    <d v="2008-04-01T00:00:00"/>
    <n v="20"/>
    <s v="Barrière hors zone EUR"/>
    <s v="Struct"/>
    <x v="7"/>
    <n v="1"/>
    <m/>
    <m/>
    <m/>
    <m/>
    <n v="10068594"/>
    <n v="10068594"/>
    <n v="4.0076000000000001E-2"/>
    <n v="414243.37"/>
    <n v="274919.76"/>
    <m/>
    <n v="367881.27"/>
    <n v="689163.13"/>
    <n v="0"/>
    <m/>
    <n v="0"/>
  </r>
  <r>
    <x v="35"/>
    <s v="Caisse d'Épargne"/>
    <d v="2003-07-01T00:00:00"/>
    <d v="2006-02-25T00:00:00"/>
    <n v="20"/>
    <s v="Barrière hors zone EUR"/>
    <s v="Struct"/>
    <x v="7"/>
    <n v="1"/>
    <m/>
    <m/>
    <m/>
    <m/>
    <m/>
    <m/>
    <m/>
    <m/>
    <m/>
    <m/>
    <m/>
    <n v="0"/>
    <n v="0"/>
    <m/>
    <n v="0"/>
  </r>
  <r>
    <x v="37"/>
    <s v="Caisse d'Épargne"/>
    <d v="2003-09-01T00:00:00"/>
    <d v="2006-09-01T00:00:00"/>
    <n v="3"/>
    <s v="Fixe"/>
    <s v="Non_st"/>
    <x v="7"/>
    <n v="1"/>
    <m/>
    <m/>
    <m/>
    <m/>
    <m/>
    <m/>
    <m/>
    <m/>
    <m/>
    <m/>
    <m/>
    <n v="0"/>
    <n v="0"/>
    <m/>
    <n v="0"/>
  </r>
  <r>
    <x v="38"/>
    <s v="Caisse d'Épargne"/>
    <d v="2004-02-05T00:00:00"/>
    <d v="2011-06-25T00:00:00"/>
    <n v="7"/>
    <s v="Fixe"/>
    <s v="Non_st"/>
    <x v="7"/>
    <n v="1"/>
    <m/>
    <m/>
    <m/>
    <m/>
    <n v="4324063.92"/>
    <n v="2269851"/>
    <n v="3.7999999999999999E-2"/>
    <n v="105881.18"/>
    <n v="516495.51"/>
    <m/>
    <n v="44541.18"/>
    <n v="622376.68999999994"/>
    <n v="0"/>
    <m/>
    <n v="0"/>
  </r>
  <r>
    <x v="39"/>
    <s v="Dexia CL"/>
    <d v="2004-03-31T00:00:00"/>
    <d v="2007-04-01T00:00:00"/>
    <n v="3"/>
    <s v="Fixe"/>
    <s v="Non_st"/>
    <x v="7"/>
    <n v="1"/>
    <m/>
    <m/>
    <m/>
    <m/>
    <n v="177894.36"/>
    <n v="0"/>
    <n v="2.7E-2"/>
    <n v="1623.29"/>
    <n v="59298.12"/>
    <m/>
    <n v="0"/>
    <n v="60921.41"/>
    <n v="0"/>
    <m/>
    <n v="0"/>
  </r>
  <r>
    <x v="43"/>
    <s v="Dexia CL"/>
    <d v="2004-04-29T00:00:00"/>
    <d v="2007-05-01T00:00:00"/>
    <n v="21"/>
    <s v="Barrière"/>
    <s v="Struct"/>
    <x v="7"/>
    <n v="1"/>
    <m/>
    <m/>
    <m/>
    <m/>
    <n v="8000000"/>
    <n v="0"/>
    <n v="4.0399999999999998E-2"/>
    <n v="307373.06"/>
    <n v="266739.63"/>
    <m/>
    <n v="0"/>
    <n v="574112.68999999994"/>
    <n v="0"/>
    <m/>
    <n v="7237000"/>
  </r>
  <r>
    <x v="45"/>
    <s v="Dexia CL"/>
    <d v="2004-07-25T00:00:00"/>
    <d v="2006-03-01T00:00:00"/>
    <n v="18"/>
    <s v="Pente"/>
    <s v="Struct"/>
    <x v="7"/>
    <n v="1"/>
    <m/>
    <m/>
    <m/>
    <m/>
    <m/>
    <m/>
    <m/>
    <m/>
    <m/>
    <m/>
    <m/>
    <n v="0"/>
    <n v="0"/>
    <m/>
    <n v="0"/>
  </r>
  <r>
    <x v="46"/>
    <s v="Dexia CL"/>
    <d v="2005-02-01T00:00:00"/>
    <d v="2007-06-30T00:00:00"/>
    <n v="15"/>
    <s v="Change"/>
    <s v="Struct"/>
    <x v="7"/>
    <n v="1"/>
    <m/>
    <m/>
    <m/>
    <m/>
    <n v="11000000"/>
    <n v="0"/>
    <m/>
    <n v="374347.6"/>
    <n v="535253.42000000004"/>
    <m/>
    <n v="0"/>
    <n v="909601.02"/>
    <n v="0"/>
    <n v="1979018.42"/>
    <n v="11934000"/>
  </r>
  <r>
    <x v="47"/>
    <s v="Dexia CL"/>
    <d v="2005-02-23T00:00:00"/>
    <d v="2007-02-01T00:00:00"/>
    <n v="17"/>
    <s v="Barrière avec multiplicateur"/>
    <s v="Struct"/>
    <x v="7"/>
    <n v="1"/>
    <m/>
    <m/>
    <m/>
    <m/>
    <n v="10833098.460000001"/>
    <n v="0"/>
    <m/>
    <n v="97377.48"/>
    <n v="0"/>
    <m/>
    <n v="0"/>
    <n v="97377.48"/>
    <n v="0"/>
    <m/>
    <n v="9658000"/>
  </r>
  <r>
    <x v="48"/>
    <s v="Dexia CL"/>
    <d v="2005-02-23T00:00:00"/>
    <d v="2007-05-01T00:00:00"/>
    <n v="15"/>
    <s v="Variable hors zone EUR"/>
    <s v="Struct"/>
    <x v="7"/>
    <n v="1"/>
    <m/>
    <m/>
    <m/>
    <m/>
    <n v="8000000"/>
    <n v="0"/>
    <m/>
    <n v="233420.14"/>
    <n v="370738.3"/>
    <m/>
    <n v="0"/>
    <n v="604158.43999999994"/>
    <n v="0"/>
    <m/>
    <n v="7629000"/>
  </r>
  <r>
    <x v="49"/>
    <s v="Crédit Mutuel"/>
    <d v="2005-03-24T00:00:00"/>
    <d v="2010-03-23T00:00:00"/>
    <n v="5"/>
    <s v="Fixe"/>
    <s v="Non_st"/>
    <x v="7"/>
    <n v="1"/>
    <m/>
    <m/>
    <m/>
    <m/>
    <n v="1808556.04"/>
    <n v="1116724"/>
    <n v="2.9700000000000001E-2"/>
    <n v="43590.75"/>
    <n v="350977.52"/>
    <m/>
    <n v="27805.52"/>
    <n v="394568.27"/>
    <n v="0"/>
    <m/>
    <n v="0"/>
  </r>
  <r>
    <x v="50"/>
    <s v="Dexia CL"/>
    <d v="2005-04-01T00:00:00"/>
    <d v="2006-07-01T00:00:00"/>
    <n v="19"/>
    <s v="Change"/>
    <s v="Struct"/>
    <x v="7"/>
    <n v="1"/>
    <m/>
    <m/>
    <m/>
    <m/>
    <m/>
    <m/>
    <m/>
    <m/>
    <m/>
    <m/>
    <m/>
    <n v="0"/>
    <n v="0"/>
    <m/>
    <n v="0"/>
  </r>
  <r>
    <x v="51"/>
    <s v="Dexia CL"/>
    <d v="2005-04-01T00:00:00"/>
    <d v="2007-05-01T00:00:00"/>
    <n v="15"/>
    <s v="Change"/>
    <s v="Struct"/>
    <x v="7"/>
    <n v="1"/>
    <m/>
    <m/>
    <m/>
    <m/>
    <n v="6992442.4100000001"/>
    <n v="0"/>
    <m/>
    <n v="241888.27"/>
    <n v="340248.07"/>
    <m/>
    <n v="0"/>
    <n v="582136.34"/>
    <n v="0"/>
    <m/>
    <n v="6787000"/>
  </r>
  <r>
    <x v="52"/>
    <s v="CDC"/>
    <d v="2005-05-01T00:00:00"/>
    <d v="2011-04-30T00:00:00"/>
    <n v="6"/>
    <s v="Variable"/>
    <s v="Non_st"/>
    <x v="7"/>
    <n v="1"/>
    <m/>
    <m/>
    <m/>
    <m/>
    <m/>
    <m/>
    <m/>
    <m/>
    <m/>
    <m/>
    <m/>
    <n v="0"/>
    <n v="0"/>
    <m/>
    <n v="0"/>
  </r>
  <r>
    <x v="53"/>
    <s v="CDC"/>
    <d v="2005-05-01T00:00:00"/>
    <d v="2013-04-29T00:00:00"/>
    <n v="8"/>
    <s v="Variable"/>
    <s v="Non_st"/>
    <x v="7"/>
    <n v="1"/>
    <m/>
    <m/>
    <m/>
    <m/>
    <n v="3425073.34"/>
    <n v="2628433"/>
    <n v="4.5129000000000002E-2"/>
    <n v="106560.92"/>
    <n v="403019.23"/>
    <m/>
    <n v="79240.84"/>
    <n v="509580.14999999997"/>
    <n v="0"/>
    <m/>
    <n v="0"/>
  </r>
  <r>
    <x v="54"/>
    <s v="Dexia CL"/>
    <d v="2005-06-01T00:00:00"/>
    <d v="2006-03-29T00:00:00"/>
    <n v="17.25"/>
    <s v="Change"/>
    <s v="Struct"/>
    <x v="7"/>
    <n v="1"/>
    <m/>
    <m/>
    <m/>
    <m/>
    <m/>
    <m/>
    <m/>
    <m/>
    <m/>
    <m/>
    <m/>
    <n v="0"/>
    <n v="0"/>
    <m/>
    <n v="0"/>
  </r>
  <r>
    <x v="55"/>
    <s v="Dexia CL"/>
    <d v="2005-07-01T00:00:00"/>
    <d v="2006-07-01T00:00:00"/>
    <n v="16"/>
    <s v="Pente"/>
    <s v="Struct"/>
    <x v="7"/>
    <n v="1"/>
    <m/>
    <m/>
    <m/>
    <m/>
    <m/>
    <m/>
    <m/>
    <m/>
    <m/>
    <m/>
    <m/>
    <n v="0"/>
    <n v="0"/>
    <m/>
    <n v="0"/>
  </r>
  <r>
    <x v="56"/>
    <s v="Dexia CL"/>
    <d v="2005-12-01T00:00:00"/>
    <d v="2006-03-29T00:00:00"/>
    <n v="16"/>
    <s v="Pente"/>
    <s v="Struct"/>
    <x v="7"/>
    <n v="1"/>
    <m/>
    <m/>
    <m/>
    <m/>
    <m/>
    <m/>
    <m/>
    <m/>
    <m/>
    <m/>
    <m/>
    <n v="0"/>
    <n v="0"/>
    <m/>
    <n v="0"/>
  </r>
  <r>
    <x v="57"/>
    <s v="Dexia CL"/>
    <d v="2005-12-23T00:00:00"/>
    <d v="2007-05-01T00:00:00"/>
    <n v="18.170000000000002"/>
    <s v="Pente"/>
    <s v="Struct"/>
    <x v="7"/>
    <n v="1"/>
    <m/>
    <m/>
    <m/>
    <m/>
    <n v="10338137.08"/>
    <n v="0"/>
    <n v="1.7899999999999999E-2"/>
    <n v="94145.9"/>
    <n v="584321"/>
    <m/>
    <n v="0"/>
    <n v="678466.9"/>
    <n v="0"/>
    <m/>
    <n v="9754000"/>
  </r>
  <r>
    <x v="58"/>
    <s v="Caisse d'Épargne"/>
    <d v="2006-02-25T00:00:00"/>
    <d v="2007-07-25T00:00:00"/>
    <n v="20"/>
    <s v="Pente"/>
    <s v="Struct"/>
    <x v="7"/>
    <n v="1"/>
    <m/>
    <m/>
    <m/>
    <m/>
    <n v="15694824"/>
    <n v="0"/>
    <n v="2.6100000000000002E-2"/>
    <n v="511324.11"/>
    <n v="693954.64"/>
    <m/>
    <n v="0"/>
    <n v="1205278.75"/>
    <n v="0"/>
    <m/>
    <n v="15001000"/>
  </r>
  <r>
    <x v="59"/>
    <s v="Dexia CL"/>
    <d v="2006-03-01T00:00:00"/>
    <d v="2010-10-01T00:00:00"/>
    <n v="16.25"/>
    <s v="Change"/>
    <s v="Struct"/>
    <x v="7"/>
    <n v="1"/>
    <m/>
    <m/>
    <m/>
    <m/>
    <n v="11244941.99"/>
    <n v="10091897"/>
    <n v="2.9423000000000001E-2"/>
    <n v="413970.04"/>
    <n v="1153044.8400000001"/>
    <m/>
    <n v="173160.14"/>
    <n v="1567014.8800000001"/>
    <n v="0"/>
    <m/>
    <n v="0"/>
  </r>
  <r>
    <x v="60"/>
    <s v="Crédit Agricole"/>
    <d v="2006-03-06T00:00:00"/>
    <d v="2021-03-02T00:00:00"/>
    <n v="15"/>
    <s v="Barrière"/>
    <s v="Struct"/>
    <x v="7"/>
    <n v="1"/>
    <m/>
    <m/>
    <m/>
    <m/>
    <m/>
    <m/>
    <m/>
    <m/>
    <m/>
    <m/>
    <m/>
    <n v="0"/>
    <n v="0"/>
    <m/>
    <n v="0"/>
  </r>
  <r>
    <x v="61"/>
    <s v="Crédit Agricole"/>
    <d v="2006-03-06T00:00:00"/>
    <d v="2021-03-06T00:00:00"/>
    <n v="15"/>
    <s v="Fixe"/>
    <s v="Non_st"/>
    <x v="7"/>
    <n v="1"/>
    <m/>
    <m/>
    <m/>
    <m/>
    <n v="5000000"/>
    <n v="4743162"/>
    <n v="3.6200000000000003E-2"/>
    <n v="181000"/>
    <n v="256838.5"/>
    <m/>
    <n v="140739.71"/>
    <n v="437838.5"/>
    <n v="0"/>
    <m/>
    <n v="0"/>
  </r>
  <r>
    <x v="62"/>
    <s v="Dexia CL"/>
    <d v="2006-05-12T00:00:00"/>
    <d v="2008-04-01T00:00:00"/>
    <n v="16.670000000000002"/>
    <s v="Fixe"/>
    <s v="Non_st"/>
    <x v="7"/>
    <n v="1"/>
    <m/>
    <m/>
    <m/>
    <m/>
    <n v="7500000"/>
    <n v="7500000"/>
    <n v="4.3221000000000002E-2"/>
    <n v="244244.72"/>
    <n v="0"/>
    <m/>
    <n v="25408.43"/>
    <n v="244244.72"/>
    <n v="0"/>
    <m/>
    <n v="0"/>
  </r>
  <r>
    <x v="63"/>
    <s v="Dexia CL"/>
    <d v="2006-07-01T00:00:00"/>
    <d v="2011-07-13T00:00:00"/>
    <n v="20"/>
    <s v="Change"/>
    <s v="Struct"/>
    <x v="7"/>
    <n v="1"/>
    <m/>
    <m/>
    <m/>
    <m/>
    <n v="16517587"/>
    <n v="16517587"/>
    <n v="3.9974999999999997E-2"/>
    <n v="659831.72"/>
    <n v="340000"/>
    <m/>
    <n v="324010.11"/>
    <n v="999831.72"/>
    <n v="0"/>
    <m/>
    <n v="0"/>
  </r>
  <r>
    <x v="64"/>
    <s v="Dexia CL"/>
    <d v="2006-07-01T00:00:00"/>
    <d v="2008-12-01T00:00:00"/>
    <n v="19.75"/>
    <s v="Pente"/>
    <s v="Struct"/>
    <x v="7"/>
    <n v="1"/>
    <m/>
    <m/>
    <m/>
    <m/>
    <n v="14054467.35"/>
    <n v="13207481"/>
    <n v="3.1600000000000003E-2"/>
    <n v="338025.56"/>
    <n v="846986.41"/>
    <m/>
    <n v="312447.14"/>
    <n v="1185011.97"/>
    <n v="0"/>
    <m/>
    <n v="0"/>
  </r>
  <r>
    <x v="65"/>
    <s v="Dexia CL"/>
    <d v="2006-10-01T00:00:00"/>
    <d v="2009-10-01T00:00:00"/>
    <n v="19"/>
    <s v="Change"/>
    <s v="Struct"/>
    <x v="7"/>
    <n v="1"/>
    <m/>
    <m/>
    <m/>
    <m/>
    <n v="12000000"/>
    <n v="11724387"/>
    <n v="3.3683999999999999E-2"/>
    <n v="320943.37"/>
    <n v="275613"/>
    <m/>
    <n v="98393.66"/>
    <n v="596556.37"/>
    <n v="0"/>
    <m/>
    <n v="0"/>
  </r>
  <r>
    <x v="68"/>
    <s v="Dexia CL"/>
    <d v="2006-03-29T00:00:00"/>
    <d v="2007-02-01T00:00:00"/>
    <n v="19.079999999999998"/>
    <s v="Pente"/>
    <s v="Struct"/>
    <x v="7"/>
    <n v="1"/>
    <m/>
    <s v="A"/>
    <m/>
    <m/>
    <n v="10344246.199999999"/>
    <n v="0"/>
    <m/>
    <n v="45720.08"/>
    <n v="0"/>
    <m/>
    <n v="0"/>
    <n v="45720.08"/>
    <n v="0"/>
    <m/>
    <n v="10344000"/>
  </r>
  <r>
    <x v="66"/>
    <s v="Dexia CL"/>
    <d v="2006-10-01T00:00:00"/>
    <d v="2008-12-01T00:00:00"/>
    <n v="19.170000000000002"/>
    <s v="Change"/>
    <s v="Struct"/>
    <x v="7"/>
    <n v="1"/>
    <m/>
    <m/>
    <m/>
    <m/>
    <n v="12000000"/>
    <n v="11724387"/>
    <n v="3.0335999999999998E-2"/>
    <n v="354983.38"/>
    <n v="275613"/>
    <m/>
    <n v="29213.26"/>
    <n v="630596.38"/>
    <n v="0"/>
    <m/>
    <n v="0"/>
  </r>
  <r>
    <x v="69"/>
    <s v="Société générale"/>
    <d v="2006-11-22T00:00:00"/>
    <d v="2007-10-01T00:00:00"/>
    <n v="20"/>
    <s v="Variable"/>
    <s v="Non_st"/>
    <x v="7"/>
    <n v="1"/>
    <m/>
    <m/>
    <m/>
    <m/>
    <n v="10000000"/>
    <n v="0"/>
    <m/>
    <n v="115147.8"/>
    <n v="0"/>
    <m/>
    <n v="0"/>
    <n v="115147.8"/>
    <n v="0"/>
    <m/>
    <n v="10000000"/>
  </r>
  <r>
    <x v="70"/>
    <s v="Société générale"/>
    <d v="2007-10-01T00:00:00"/>
    <d v="2010-12-01T00:00:00"/>
    <n v="20"/>
    <s v="Barrière avec multiplicateur"/>
    <s v="Struct"/>
    <x v="7"/>
    <n v="1"/>
    <m/>
    <m/>
    <m/>
    <m/>
    <n v="3000000"/>
    <n v="2899255"/>
    <n v="4.0583000000000001E-2"/>
    <n v="108587.5"/>
    <n v="100745.25"/>
    <m/>
    <n v="0"/>
    <n v="209332.75"/>
    <n v="0"/>
    <m/>
    <n v="0"/>
  </r>
  <r>
    <x v="71"/>
    <s v="Société générale"/>
    <d v="2007-10-01T00:00:00"/>
    <d v="2010-10-01T00:00:00"/>
    <n v="20.079999999999998"/>
    <s v="Écart d'inflation"/>
    <s v="Struct"/>
    <x v="7"/>
    <n v="1"/>
    <m/>
    <m/>
    <m/>
    <m/>
    <n v="5000000"/>
    <n v="5000000"/>
    <n v="3.3480999999999997E-2"/>
    <n v="0"/>
    <n v="0"/>
    <m/>
    <n v="0"/>
    <n v="0"/>
    <n v="0"/>
    <m/>
    <n v="0"/>
  </r>
  <r>
    <x v="72"/>
    <s v="Dexia CL"/>
    <d v="2007-02-01T00:00:00"/>
    <d v="2008-08-08T00:00:00"/>
    <n v="18.75"/>
    <s v="Change"/>
    <s v="Struct"/>
    <x v="7"/>
    <n v="1"/>
    <m/>
    <m/>
    <m/>
    <m/>
    <n v="20001887.469999999"/>
    <n v="18698339.079999998"/>
    <n v="1.9276999999999999E-2"/>
    <n v="288193.86"/>
    <n v="1303547.49"/>
    <m/>
    <n v="59211.41"/>
    <n v="1591741.35"/>
    <n v="0"/>
    <m/>
    <n v="0"/>
  </r>
  <r>
    <x v="73"/>
    <s v="Crédit Agricole"/>
    <d v="2007-04-10T00:00:00"/>
    <d v="2028-03-01T00:00:00"/>
    <n v="20"/>
    <s v="Pente"/>
    <s v="Struct"/>
    <x v="7"/>
    <n v="1"/>
    <m/>
    <m/>
    <m/>
    <m/>
    <n v="5000000"/>
    <n v="5000000"/>
    <n v="3.9933999999999997E-2"/>
    <n v="133132.65"/>
    <n v="0"/>
    <m/>
    <n v="16179.84"/>
    <n v="133132.65"/>
    <n v="0"/>
    <m/>
    <n v="0"/>
  </r>
  <r>
    <x v="85"/>
    <s v="Dexia CL"/>
    <d v="2008-04-01T00:00:00"/>
    <d v="2009-11-01T00:00:00"/>
    <n v="25.67"/>
    <s v="Pente"/>
    <s v="Struct"/>
    <x v="7"/>
    <n v="0"/>
    <m/>
    <m/>
    <m/>
    <m/>
    <m/>
    <m/>
    <n v="3.9883000000000002E-2"/>
    <n v="0"/>
    <n v="0"/>
    <m/>
    <n v="0"/>
    <n v="0"/>
    <n v="0"/>
    <m/>
    <n v="0"/>
  </r>
  <r>
    <x v="74"/>
    <s v="Dexia CL"/>
    <d v="2007-05-01T00:00:00"/>
    <d v="2009-12-29T00:00:00"/>
    <n v="17"/>
    <s v="Courbes"/>
    <s v="Struct"/>
    <x v="7"/>
    <n v="1"/>
    <m/>
    <m/>
    <m/>
    <m/>
    <n v="16991098"/>
    <n v="16991098"/>
    <n v="2.6379E-2"/>
    <n v="0"/>
    <n v="0"/>
    <m/>
    <n v="299420.90999999997"/>
    <n v="0"/>
    <n v="0"/>
    <m/>
    <n v="0"/>
  </r>
  <r>
    <x v="75"/>
    <s v="Dexia CL"/>
    <d v="2007-05-01T00:00:00"/>
    <d v="2009-12-29T00:00:00"/>
    <n v="16.920000000000002"/>
    <s v="Écart d'inflation"/>
    <s v="Struct"/>
    <x v="7"/>
    <n v="1"/>
    <m/>
    <m/>
    <m/>
    <m/>
    <n v="13957410.35"/>
    <n v="13957410.35"/>
    <n v="2.8407999999999999E-2"/>
    <n v="0"/>
    <n v="0"/>
    <m/>
    <n v="273597.86"/>
    <n v="0"/>
    <n v="0"/>
    <m/>
    <n v="0"/>
  </r>
  <r>
    <x v="76"/>
    <s v="Société générale"/>
    <d v="2007-05-24T00:00:00"/>
    <d v="2009-04-01T00:00:00"/>
    <n v="19"/>
    <s v="Change"/>
    <s v="Struct"/>
    <x v="7"/>
    <n v="1"/>
    <m/>
    <m/>
    <m/>
    <m/>
    <m/>
    <n v="4000000"/>
    <n v="4.0085999999999997E-2"/>
    <n v="92249.25"/>
    <n v="0"/>
    <m/>
    <n v="12993.87"/>
    <n v="92249.25"/>
    <n v="0"/>
    <m/>
    <n v="0"/>
  </r>
  <r>
    <x v="77"/>
    <s v="Caisse d'Épargne"/>
    <d v="2007-07-25T00:00:00"/>
    <d v="2012-02-25T00:00:00"/>
    <n v="18.579999999999998"/>
    <s v="Courbes"/>
    <s v="Struct"/>
    <x v="7"/>
    <n v="1"/>
    <m/>
    <m/>
    <m/>
    <m/>
    <n v="15000869"/>
    <n v="15000869"/>
    <n v="2.3220999999999999E-2"/>
    <n v="0"/>
    <n v="0"/>
    <m/>
    <n v="0"/>
    <n v="0"/>
    <n v="0"/>
    <m/>
    <n v="0"/>
  </r>
  <r>
    <x v="78"/>
    <s v="Dexia CL"/>
    <d v="2007-08-30T00:00:00"/>
    <d v="2011-04-01T00:00:00"/>
    <n v="25"/>
    <s v="Courbes"/>
    <s v="Struct"/>
    <x v="7"/>
    <n v="1"/>
    <m/>
    <m/>
    <m/>
    <m/>
    <n v="5287418"/>
    <n v="5287418"/>
    <m/>
    <n v="3395.5"/>
    <n v="0"/>
    <m/>
    <n v="0"/>
    <n v="3395.5"/>
    <n v="0"/>
    <m/>
    <n v="0"/>
  </r>
  <r>
    <x v="79"/>
    <s v="Société générale"/>
    <d v="2007-10-01T00:00:00"/>
    <d v="2010-09-01T00:00:00"/>
    <n v="20"/>
    <s v="Courbes"/>
    <s v="Struct"/>
    <x v="7"/>
    <n v="1"/>
    <m/>
    <m/>
    <m/>
    <m/>
    <n v="2000000"/>
    <n v="2000000"/>
    <m/>
    <n v="0"/>
    <n v="0"/>
    <m/>
    <n v="0"/>
    <n v="0"/>
    <n v="0"/>
    <m/>
    <n v="0"/>
  </r>
  <r>
    <x v="80"/>
    <s v="Dexia CL"/>
    <d v="2007-09-25T00:00:00"/>
    <d v="2010-01-01T00:00:00"/>
    <n v="25.42"/>
    <s v="Barrière avec multiplicateur"/>
    <s v="Struct"/>
    <x v="7"/>
    <n v="1"/>
    <m/>
    <m/>
    <m/>
    <m/>
    <n v="8721943"/>
    <n v="8721943"/>
    <n v="2.8407999999999999E-2"/>
    <n v="0"/>
    <n v="0"/>
    <m/>
    <n v="0"/>
    <n v="0"/>
    <n v="0"/>
    <m/>
    <n v="0"/>
  </r>
  <r>
    <x v="81"/>
    <s v="Dexia CL"/>
    <d v="2008-04-01T00:00:00"/>
    <d v="2008-12-01T00:00:00"/>
    <n v="26.42"/>
    <s v="Change"/>
    <s v="Struct"/>
    <x v="7"/>
    <n v="0"/>
    <m/>
    <m/>
    <m/>
    <m/>
    <n v="0"/>
    <n v="0"/>
    <m/>
    <n v="0"/>
    <n v="0"/>
    <m/>
    <n v="0"/>
    <n v="0"/>
    <n v="0"/>
    <m/>
    <n v="0"/>
  </r>
  <r>
    <x v="82"/>
    <s v="Caisse d'Épargne"/>
    <d v="2007-12-31T00:00:00"/>
    <d v="2013-02-25T00:00:00"/>
    <n v="20"/>
    <s v="Courbes"/>
    <s v="Struct"/>
    <x v="7"/>
    <n v="0"/>
    <m/>
    <m/>
    <m/>
    <m/>
    <n v="5000000"/>
    <n v="5000000"/>
    <n v="2.3220999999999999E-2"/>
    <n v="0"/>
    <n v="0"/>
    <m/>
    <n v="0"/>
    <n v="0"/>
    <n v="0"/>
    <m/>
    <n v="0"/>
  </r>
  <r>
    <x v="86"/>
    <s v="Dexia CL"/>
    <d v="2009-12-29T00:00:00"/>
    <d v="2010-05-01T00:00:00"/>
    <n v="20.83"/>
    <s v="Courbes"/>
    <s v="Struct"/>
    <x v="7"/>
    <n v="0"/>
    <m/>
    <m/>
    <m/>
    <m/>
    <m/>
    <m/>
    <m/>
    <m/>
    <m/>
    <m/>
    <m/>
    <n v="0"/>
    <n v="0"/>
    <m/>
    <n v="0"/>
  </r>
  <r>
    <x v="87"/>
    <s v="Dexia CL"/>
    <d v="2008-08-08T00:00:00"/>
    <d v="2011-11-01T00:00:00"/>
    <n v="25.33"/>
    <s v="Change"/>
    <s v="Struct"/>
    <x v="7"/>
    <n v="0"/>
    <m/>
    <m/>
    <m/>
    <m/>
    <m/>
    <m/>
    <m/>
    <m/>
    <m/>
    <m/>
    <m/>
    <n v="0"/>
    <n v="0"/>
    <m/>
    <n v="0"/>
  </r>
  <r>
    <x v="88"/>
    <s v="Dexia CL"/>
    <d v="2008-08-08T00:00:00"/>
    <d v="2012-11-01T00:00:00"/>
    <n v="25.33"/>
    <s v="Change"/>
    <s v="Struct"/>
    <x v="7"/>
    <n v="0"/>
    <m/>
    <m/>
    <m/>
    <m/>
    <m/>
    <m/>
    <m/>
    <m/>
    <m/>
    <m/>
    <m/>
    <n v="0"/>
    <n v="0"/>
    <m/>
    <n v="0"/>
  </r>
  <r>
    <x v="89"/>
    <s v="Dexia CL"/>
    <d v="2012-11-01T00:00:00"/>
    <d v="2017-11-01T00:00:00"/>
    <n v="25"/>
    <s v="Change"/>
    <s v="Struct"/>
    <x v="7"/>
    <n v="0"/>
    <m/>
    <m/>
    <m/>
    <m/>
    <m/>
    <m/>
    <m/>
    <m/>
    <m/>
    <m/>
    <m/>
    <n v="0"/>
    <n v="0"/>
    <m/>
    <n v="0"/>
  </r>
  <r>
    <x v="90"/>
    <s v="Dexia CL"/>
    <d v="2008-12-01T00:00:00"/>
    <d v="2010-12-01T00:00:00"/>
    <n v="17"/>
    <s v="Change"/>
    <s v="Struct"/>
    <x v="7"/>
    <n v="0"/>
    <m/>
    <m/>
    <m/>
    <m/>
    <m/>
    <m/>
    <m/>
    <m/>
    <m/>
    <m/>
    <m/>
    <n v="0"/>
    <n v="0"/>
    <m/>
    <n v="0"/>
  </r>
  <r>
    <x v="91"/>
    <s v="Dexia CL"/>
    <d v="2008-12-01T00:00:00"/>
    <d v="2012-12-01T00:00:00"/>
    <n v="25"/>
    <s v="Pente"/>
    <s v="Struct"/>
    <x v="7"/>
    <n v="0"/>
    <m/>
    <m/>
    <m/>
    <m/>
    <m/>
    <m/>
    <m/>
    <m/>
    <m/>
    <m/>
    <m/>
    <n v="0"/>
    <n v="0"/>
    <m/>
    <n v="0"/>
  </r>
  <r>
    <x v="67"/>
    <s v="Caisse d'Épargne"/>
    <d v="2006-11-29T00:00:00"/>
    <d v="2009-11-25T00:00:00"/>
    <n v="20"/>
    <s v="Pente"/>
    <s v="Struct"/>
    <x v="7"/>
    <n v="1"/>
    <m/>
    <m/>
    <m/>
    <m/>
    <n v="5000000"/>
    <n v="4820929"/>
    <m/>
    <n v="167500"/>
    <n v="179070.7"/>
    <m/>
    <n v="16150.11"/>
    <n v="346570.7"/>
    <n v="0"/>
    <m/>
    <n v="0"/>
  </r>
  <r>
    <x v="13"/>
    <s v="Crédit Mutuel"/>
    <d v="1999-12-01T00:00:00"/>
    <d v="2014-11-30T00:00:00"/>
    <n v="15"/>
    <s v="Fixe à phase"/>
    <s v="Non_st"/>
    <x v="8"/>
    <n v="1"/>
    <m/>
    <s v="A"/>
    <d v="2000-11-30T00:00:00"/>
    <d v="2000-11-30T00:00:00"/>
    <n v="1524490.17"/>
    <n v="830457"/>
    <n v="3.5249999999999997E-2"/>
    <n v="33587.89"/>
    <n v="122390.58"/>
    <m/>
    <n v="2486.25"/>
    <n v="155978.47"/>
    <n v="0"/>
    <m/>
    <n v="0"/>
  </r>
  <r>
    <x v="12"/>
    <s v="Crédit Mutuel"/>
    <d v="2001-02-28T00:00:00"/>
    <d v="2016-02-29T00:00:00"/>
    <n v="15"/>
    <s v="Fixe"/>
    <s v="Non_st"/>
    <x v="8"/>
    <n v="1"/>
    <m/>
    <m/>
    <d v="2002-02-28T00:00:00"/>
    <d v="2004-02-28T00:00:00"/>
    <n v="609796.06999999995"/>
    <n v="375259"/>
    <n v="4.99E-2"/>
    <n v="14915.14"/>
    <n v="46907.39"/>
    <m/>
    <n v="15757.1"/>
    <n v="61822.53"/>
    <n v="0"/>
    <m/>
    <n v="0"/>
  </r>
  <r>
    <x v="14"/>
    <s v="CDC"/>
    <d v="2001-04-25T00:00:00"/>
    <d v="2004-04-25T00:00:00"/>
    <n v="3"/>
    <s v="Fixe"/>
    <s v="Non_st"/>
    <x v="8"/>
    <n v="1"/>
    <m/>
    <m/>
    <m/>
    <m/>
    <m/>
    <m/>
    <m/>
    <m/>
    <m/>
    <m/>
    <m/>
    <m/>
    <s v=""/>
    <m/>
    <n v="0"/>
  </r>
  <r>
    <x v="16"/>
    <s v="Dexia CL"/>
    <d v="2001-11-26T00:00:00"/>
    <d v="2006-03-01T00:00:00"/>
    <n v="20"/>
    <s v="Annulable"/>
    <s v="Struct"/>
    <x v="8"/>
    <n v="1"/>
    <m/>
    <m/>
    <m/>
    <m/>
    <m/>
    <m/>
    <m/>
    <m/>
    <m/>
    <m/>
    <m/>
    <m/>
    <s v=""/>
    <m/>
    <n v="0"/>
  </r>
  <r>
    <x v="17"/>
    <s v="CDC"/>
    <d v="2002-01-25T00:00:00"/>
    <d v="2009-01-25T00:00:00"/>
    <n v="7"/>
    <s v="Fixe"/>
    <s v="Non_st"/>
    <x v="8"/>
    <n v="1"/>
    <m/>
    <m/>
    <m/>
    <m/>
    <m/>
    <m/>
    <m/>
    <m/>
    <m/>
    <m/>
    <m/>
    <m/>
    <s v=""/>
    <m/>
    <n v="0"/>
  </r>
  <r>
    <x v="18"/>
    <s v="CDC"/>
    <d v="2002-02-01T00:00:00"/>
    <d v="2022-02-01T00:00:00"/>
    <n v="20"/>
    <s v="Livret A"/>
    <s v="Livr_A"/>
    <x v="8"/>
    <n v="1"/>
    <m/>
    <m/>
    <d v="2003-02-01T00:00:00"/>
    <d v="2003-02-01T00:00:00"/>
    <n v="2137796"/>
    <n v="1606283"/>
    <m/>
    <n v="46731.76"/>
    <n v="93054.28"/>
    <m/>
    <n v="51194.34"/>
    <n v="139786.04"/>
    <n v="0"/>
    <m/>
    <n v="0"/>
  </r>
  <r>
    <x v="19"/>
    <s v="CDC"/>
    <d v="2002-04-01T00:00:00"/>
    <d v="2022-04-01T00:00:00"/>
    <n v="20"/>
    <s v="Livret A"/>
    <s v="Livr_A"/>
    <x v="8"/>
    <n v="1"/>
    <m/>
    <m/>
    <m/>
    <m/>
    <m/>
    <m/>
    <m/>
    <m/>
    <m/>
    <m/>
    <m/>
    <m/>
    <s v=""/>
    <m/>
    <n v="0"/>
  </r>
  <r>
    <x v="20"/>
    <s v="Crédit Agricole"/>
    <d v="2002-04-15T00:00:00"/>
    <d v="2017-04-18T00:00:00"/>
    <n v="15"/>
    <s v="Barrière hors zone EUR"/>
    <s v="Struct"/>
    <x v="8"/>
    <n v="1"/>
    <m/>
    <m/>
    <d v="2003-04-15T00:00:00"/>
    <d v="2003-04-15T00:00:00"/>
    <n v="13097112.84"/>
    <n v="8651140"/>
    <m/>
    <n v="364368.45"/>
    <n v="806152.51"/>
    <m/>
    <n v="118712.86"/>
    <n v="1170520.96"/>
    <n v="0"/>
    <m/>
    <n v="0"/>
  </r>
  <r>
    <x v="21"/>
    <s v="Dexia CL"/>
    <d v="2002-05-01T00:00:00"/>
    <d v="2004-04-10T00:00:00"/>
    <n v="17"/>
    <s v="Barrière"/>
    <s v="Struct"/>
    <x v="8"/>
    <n v="1"/>
    <m/>
    <m/>
    <m/>
    <m/>
    <m/>
    <m/>
    <m/>
    <m/>
    <m/>
    <m/>
    <m/>
    <m/>
    <s v=""/>
    <m/>
    <n v="0"/>
  </r>
  <r>
    <x v="22"/>
    <s v="Dexia CL"/>
    <d v="2002-05-01T00:00:00"/>
    <d v="2005-07-01T00:00:00"/>
    <n v="19.25"/>
    <s v="Barrière hors zone EUR"/>
    <s v="Struct"/>
    <x v="8"/>
    <n v="1"/>
    <m/>
    <m/>
    <m/>
    <m/>
    <m/>
    <m/>
    <m/>
    <m/>
    <m/>
    <m/>
    <m/>
    <m/>
    <s v=""/>
    <m/>
    <n v="0"/>
  </r>
  <r>
    <x v="23"/>
    <s v="Dexia CL"/>
    <d v="2002-05-01T00:00:00"/>
    <d v="2004-04-10T00:00:00"/>
    <n v="19.25"/>
    <s v="Barrière hors zone EUR"/>
    <s v="Struct"/>
    <x v="8"/>
    <n v="1"/>
    <m/>
    <m/>
    <m/>
    <m/>
    <m/>
    <m/>
    <m/>
    <m/>
    <m/>
    <m/>
    <m/>
    <m/>
    <s v=""/>
    <m/>
    <n v="0"/>
  </r>
  <r>
    <x v="25"/>
    <s v="Dexia CL"/>
    <d v="2002-05-01T00:00:00"/>
    <d v="2004-07-25T00:00:00"/>
    <n v="8"/>
    <s v="Variable hors zone EUR"/>
    <s v="Struct"/>
    <x v="8"/>
    <n v="1"/>
    <m/>
    <m/>
    <m/>
    <m/>
    <m/>
    <m/>
    <m/>
    <m/>
    <m/>
    <m/>
    <m/>
    <m/>
    <s v=""/>
    <m/>
    <n v="0"/>
  </r>
  <r>
    <x v="26"/>
    <s v="CDC"/>
    <d v="2002-10-01T00:00:00"/>
    <d v="2002-10-01T00:00:00"/>
    <n v="20"/>
    <s v="Livret A"/>
    <s v="Livr_A"/>
    <x v="8"/>
    <n v="1"/>
    <m/>
    <m/>
    <m/>
    <m/>
    <m/>
    <m/>
    <m/>
    <m/>
    <m/>
    <m/>
    <m/>
    <m/>
    <s v=""/>
    <m/>
    <n v="0"/>
  </r>
  <r>
    <x v="27"/>
    <s v="Dexia CL"/>
    <d v="2002-10-04T00:00:00"/>
    <d v="2004-07-25T00:00:00"/>
    <n v="20"/>
    <s v="Fixe"/>
    <s v="Non_st"/>
    <x v="8"/>
    <n v="1"/>
    <m/>
    <m/>
    <m/>
    <m/>
    <m/>
    <m/>
    <m/>
    <m/>
    <m/>
    <m/>
    <m/>
    <m/>
    <s v=""/>
    <m/>
    <n v="0"/>
  </r>
  <r>
    <x v="28"/>
    <s v="CDC"/>
    <d v="2002-12-31T00:00:00"/>
    <d v="2023-01-01T00:00:00"/>
    <n v="20"/>
    <s v="Livret A"/>
    <s v="Livr_A"/>
    <x v="8"/>
    <n v="1"/>
    <m/>
    <m/>
    <m/>
    <m/>
    <m/>
    <m/>
    <m/>
    <m/>
    <m/>
    <m/>
    <m/>
    <m/>
    <s v=""/>
    <m/>
    <n v="0"/>
  </r>
  <r>
    <x v="29"/>
    <s v="Dexia CL"/>
    <d v="2003-01-01T00:00:00"/>
    <d v="2007-09-25T00:00:00"/>
    <n v="14"/>
    <s v="Barrière hors zone EUR"/>
    <s v="Struct"/>
    <x v="8"/>
    <n v="1"/>
    <m/>
    <m/>
    <m/>
    <m/>
    <n v="11919139.83"/>
    <n v="0"/>
    <m/>
    <n v="456157.42"/>
    <n v="716040.55"/>
    <m/>
    <n v="0"/>
    <n v="1172197.97"/>
    <n v="0"/>
    <m/>
    <n v="0"/>
  </r>
  <r>
    <x v="31"/>
    <s v="Dexia CL"/>
    <d v="2003-03-01T00:00:00"/>
    <d v="2005-04-01T00:00:00"/>
    <n v="15"/>
    <s v="Barrière"/>
    <s v="Struct"/>
    <x v="8"/>
    <n v="1"/>
    <m/>
    <m/>
    <m/>
    <m/>
    <m/>
    <m/>
    <m/>
    <m/>
    <m/>
    <m/>
    <m/>
    <m/>
    <s v=""/>
    <m/>
    <n v="0"/>
  </r>
  <r>
    <x v="32"/>
    <s v="Dexia CL"/>
    <d v="2003-05-01T00:00:00"/>
    <d v="2005-04-01T00:00:00"/>
    <n v="8"/>
    <s v="Barrière"/>
    <s v="Struct"/>
    <x v="8"/>
    <n v="1"/>
    <m/>
    <m/>
    <m/>
    <m/>
    <m/>
    <m/>
    <m/>
    <m/>
    <m/>
    <m/>
    <m/>
    <m/>
    <s v=""/>
    <m/>
    <n v="0"/>
  </r>
  <r>
    <x v="33"/>
    <s v="Dexia CL"/>
    <d v="2003-05-15T00:00:00"/>
    <d v="2008-04-01T00:00:00"/>
    <n v="20"/>
    <s v="Barrière hors zone EUR"/>
    <s v="Struct"/>
    <x v="8"/>
    <n v="1"/>
    <m/>
    <m/>
    <m/>
    <m/>
    <n v="10998754.630000001"/>
    <n v="0"/>
    <m/>
    <n v="403233.22"/>
    <n v="307801.33"/>
    <m/>
    <n v="0"/>
    <n v="711034.55"/>
    <n v="0"/>
    <m/>
    <n v="9761000"/>
  </r>
  <r>
    <x v="34"/>
    <s v="Dexia CL"/>
    <d v="2003-05-31T00:00:00"/>
    <d v="2005-04-01T00:00:00"/>
    <n v="20"/>
    <s v="Barrière"/>
    <s v="Struct"/>
    <x v="8"/>
    <n v="1"/>
    <m/>
    <m/>
    <m/>
    <m/>
    <m/>
    <m/>
    <m/>
    <m/>
    <m/>
    <m/>
    <m/>
    <m/>
    <s v=""/>
    <m/>
    <n v="0"/>
  </r>
  <r>
    <x v="35"/>
    <s v="Caisse d'Épargne"/>
    <d v="2003-07-01T00:00:00"/>
    <d v="2006-02-25T00:00:00"/>
    <n v="20"/>
    <s v="Barrière hors zone EUR"/>
    <s v="Struct"/>
    <x v="8"/>
    <n v="1"/>
    <m/>
    <m/>
    <m/>
    <m/>
    <m/>
    <m/>
    <m/>
    <m/>
    <m/>
    <m/>
    <m/>
    <m/>
    <s v=""/>
    <m/>
    <n v="0"/>
  </r>
  <r>
    <x v="37"/>
    <s v="Caisse d'Épargne"/>
    <d v="2003-09-01T00:00:00"/>
    <d v="2006-09-01T00:00:00"/>
    <n v="3"/>
    <s v="Fixe"/>
    <s v="Non_st"/>
    <x v="8"/>
    <n v="1"/>
    <m/>
    <m/>
    <m/>
    <m/>
    <m/>
    <m/>
    <m/>
    <m/>
    <m/>
    <m/>
    <m/>
    <m/>
    <s v=""/>
    <m/>
    <n v="0"/>
  </r>
  <r>
    <x v="38"/>
    <s v="Caisse d'Épargne"/>
    <d v="2004-02-05T00:00:00"/>
    <d v="2011-06-25T00:00:00"/>
    <n v="7"/>
    <s v="Fixe"/>
    <s v="Non_st"/>
    <x v="8"/>
    <n v="1"/>
    <m/>
    <m/>
    <m/>
    <m/>
    <n v="4324063.92"/>
    <n v="1733729"/>
    <m/>
    <n v="86254.35"/>
    <n v="536122.34"/>
    <m/>
    <n v="34119.089999999997"/>
    <n v="622376.68999999994"/>
    <n v="0"/>
    <m/>
    <n v="0"/>
  </r>
  <r>
    <x v="39"/>
    <s v="Dexia CL"/>
    <d v="2004-03-31T00:00:00"/>
    <d v="2007-04-01T00:00:00"/>
    <n v="3"/>
    <s v="Fixe"/>
    <s v="Non_st"/>
    <x v="8"/>
    <n v="1"/>
    <m/>
    <m/>
    <m/>
    <m/>
    <m/>
    <m/>
    <m/>
    <m/>
    <m/>
    <m/>
    <m/>
    <m/>
    <s v=""/>
    <m/>
    <n v="0"/>
  </r>
  <r>
    <x v="40"/>
    <s v="Dexia CL"/>
    <d v="2004-04-10T00:00:00"/>
    <d v="2005-12-01T00:00:00"/>
    <n v="17.75"/>
    <s v="Barrière avec multiplicateur"/>
    <s v="Struct"/>
    <x v="8"/>
    <n v="1"/>
    <m/>
    <m/>
    <m/>
    <m/>
    <m/>
    <m/>
    <m/>
    <m/>
    <m/>
    <m/>
    <m/>
    <m/>
    <s v=""/>
    <m/>
    <n v="0"/>
  </r>
  <r>
    <x v="41"/>
    <s v="Dexia CL"/>
    <d v="2004-04-10T00:00:00"/>
    <d v="2005-07-01T00:00:00"/>
    <n v="15"/>
    <s v="Barrière hors zone EUR"/>
    <s v="Struct"/>
    <x v="8"/>
    <n v="1"/>
    <m/>
    <m/>
    <m/>
    <m/>
    <m/>
    <m/>
    <m/>
    <m/>
    <m/>
    <m/>
    <m/>
    <m/>
    <s v=""/>
    <m/>
    <n v="0"/>
  </r>
  <r>
    <x v="42"/>
    <s v="Dexia CL"/>
    <d v="2004-04-15T00:00:00"/>
    <d v="2005-04-01T00:00:00"/>
    <n v="15"/>
    <s v="Variable hors zone EUR"/>
    <s v="Struct"/>
    <x v="8"/>
    <n v="1"/>
    <m/>
    <m/>
    <m/>
    <m/>
    <m/>
    <m/>
    <m/>
    <m/>
    <m/>
    <m/>
    <m/>
    <m/>
    <s v=""/>
    <m/>
    <n v="0"/>
  </r>
  <r>
    <x v="43"/>
    <s v="Dexia CL"/>
    <d v="2004-04-29T00:00:00"/>
    <d v="2007-05-01T00:00:00"/>
    <n v="21"/>
    <s v="Barrière"/>
    <s v="Struct"/>
    <x v="8"/>
    <n v="1"/>
    <m/>
    <m/>
    <m/>
    <m/>
    <m/>
    <m/>
    <m/>
    <m/>
    <m/>
    <m/>
    <m/>
    <m/>
    <s v=""/>
    <m/>
    <n v="0"/>
  </r>
  <r>
    <x v="44"/>
    <s v="Dexia CL"/>
    <d v="2004-06-15T00:00:00"/>
    <d v="2005-02-01T00:00:00"/>
    <n v="10"/>
    <s v="Change"/>
    <s v="Struct"/>
    <x v="8"/>
    <n v="1"/>
    <m/>
    <m/>
    <m/>
    <m/>
    <m/>
    <m/>
    <m/>
    <m/>
    <m/>
    <m/>
    <m/>
    <m/>
    <s v=""/>
    <m/>
    <n v="0"/>
  </r>
  <r>
    <x v="45"/>
    <s v="Dexia CL"/>
    <d v="2004-07-25T00:00:00"/>
    <d v="2006-03-01T00:00:00"/>
    <n v="18"/>
    <s v="Pente"/>
    <s v="Struct"/>
    <x v="8"/>
    <n v="1"/>
    <m/>
    <m/>
    <m/>
    <m/>
    <m/>
    <m/>
    <m/>
    <m/>
    <m/>
    <m/>
    <m/>
    <m/>
    <s v=""/>
    <m/>
    <n v="0"/>
  </r>
  <r>
    <x v="46"/>
    <s v="Dexia CL"/>
    <d v="2005-02-01T00:00:00"/>
    <d v="2007-06-30T00:00:00"/>
    <n v="15"/>
    <s v="Change"/>
    <s v="Struct"/>
    <x v="8"/>
    <n v="1"/>
    <m/>
    <m/>
    <m/>
    <m/>
    <m/>
    <m/>
    <m/>
    <m/>
    <m/>
    <m/>
    <m/>
    <m/>
    <s v=""/>
    <m/>
    <n v="0"/>
  </r>
  <r>
    <x v="47"/>
    <s v="Dexia CL"/>
    <d v="2005-02-23T00:00:00"/>
    <d v="2007-02-01T00:00:00"/>
    <n v="17"/>
    <s v="Barrière avec multiplicateur"/>
    <s v="Struct"/>
    <x v="8"/>
    <n v="1"/>
    <m/>
    <m/>
    <m/>
    <m/>
    <m/>
    <m/>
    <m/>
    <m/>
    <m/>
    <m/>
    <m/>
    <m/>
    <s v=""/>
    <m/>
    <n v="0"/>
  </r>
  <r>
    <x v="48"/>
    <s v="Dexia CL"/>
    <d v="2005-02-23T00:00:00"/>
    <d v="2007-05-01T00:00:00"/>
    <n v="15"/>
    <s v="Variable hors zone EUR"/>
    <s v="Struct"/>
    <x v="8"/>
    <n v="1"/>
    <m/>
    <m/>
    <m/>
    <m/>
    <m/>
    <m/>
    <m/>
    <m/>
    <m/>
    <m/>
    <m/>
    <m/>
    <s v=""/>
    <m/>
    <n v="0"/>
  </r>
  <r>
    <x v="49"/>
    <s v="Crédit Mutuel"/>
    <d v="2005-03-24T00:00:00"/>
    <d v="2010-03-23T00:00:00"/>
    <n v="5"/>
    <s v="Fixe"/>
    <s v="Non_st"/>
    <x v="8"/>
    <n v="1"/>
    <m/>
    <m/>
    <m/>
    <m/>
    <n v="1808556.04"/>
    <n v="755323"/>
    <m/>
    <n v="33166.71"/>
    <n v="361401.56"/>
    <m/>
    <n v="18816.830000000002"/>
    <n v="394568.27"/>
    <n v="0"/>
    <m/>
    <n v="0"/>
  </r>
  <r>
    <x v="50"/>
    <s v="Dexia CL"/>
    <d v="2005-04-01T00:00:00"/>
    <d v="2006-07-01T00:00:00"/>
    <n v="19"/>
    <s v="Change"/>
    <s v="Struct"/>
    <x v="8"/>
    <n v="1"/>
    <m/>
    <m/>
    <m/>
    <m/>
    <m/>
    <m/>
    <m/>
    <m/>
    <m/>
    <m/>
    <m/>
    <m/>
    <s v=""/>
    <m/>
    <n v="0"/>
  </r>
  <r>
    <x v="51"/>
    <s v="Dexia CL"/>
    <d v="2005-04-01T00:00:00"/>
    <d v="2007-05-01T00:00:00"/>
    <n v="15"/>
    <s v="Change"/>
    <s v="Struct"/>
    <x v="8"/>
    <n v="1"/>
    <m/>
    <m/>
    <m/>
    <m/>
    <m/>
    <m/>
    <m/>
    <m/>
    <m/>
    <m/>
    <m/>
    <m/>
    <s v=""/>
    <m/>
    <n v="0"/>
  </r>
  <r>
    <x v="52"/>
    <s v="CDC"/>
    <d v="2005-05-01T00:00:00"/>
    <d v="2011-04-30T00:00:00"/>
    <n v="6"/>
    <s v="Variable"/>
    <s v="Non_st"/>
    <x v="8"/>
    <n v="1"/>
    <m/>
    <m/>
    <m/>
    <m/>
    <m/>
    <m/>
    <m/>
    <m/>
    <m/>
    <m/>
    <m/>
    <m/>
    <s v=""/>
    <m/>
    <n v="0"/>
  </r>
  <r>
    <x v="53"/>
    <s v="CDC"/>
    <d v="2005-05-01T00:00:00"/>
    <d v="2013-04-29T00:00:00"/>
    <n v="8"/>
    <s v="Variable"/>
    <s v="Non_st"/>
    <x v="8"/>
    <n v="1"/>
    <m/>
    <m/>
    <m/>
    <m/>
    <n v="3425073.34"/>
    <n v="2215791"/>
    <m/>
    <n v="118861.26"/>
    <n v="412642.15"/>
    <m/>
    <n v="76667.61"/>
    <n v="531503.41"/>
    <n v="0"/>
    <m/>
    <n v="0"/>
  </r>
  <r>
    <x v="54"/>
    <s v="Dexia CL"/>
    <d v="2005-06-01T00:00:00"/>
    <d v="2006-03-29T00:00:00"/>
    <n v="17.25"/>
    <s v="Change"/>
    <s v="Struct"/>
    <x v="8"/>
    <n v="1"/>
    <m/>
    <m/>
    <m/>
    <m/>
    <m/>
    <m/>
    <m/>
    <m/>
    <m/>
    <m/>
    <m/>
    <m/>
    <s v=""/>
    <m/>
    <n v="0"/>
  </r>
  <r>
    <x v="55"/>
    <s v="Dexia CL"/>
    <d v="2005-07-01T00:00:00"/>
    <d v="2006-07-01T00:00:00"/>
    <n v="16"/>
    <s v="Pente"/>
    <s v="Struct"/>
    <x v="8"/>
    <n v="1"/>
    <m/>
    <m/>
    <m/>
    <m/>
    <m/>
    <m/>
    <m/>
    <m/>
    <m/>
    <m/>
    <m/>
    <m/>
    <s v=""/>
    <m/>
    <n v="0"/>
  </r>
  <r>
    <x v="56"/>
    <s v="Dexia CL"/>
    <d v="2005-12-01T00:00:00"/>
    <d v="2006-03-29T00:00:00"/>
    <n v="16"/>
    <s v="Pente"/>
    <s v="Struct"/>
    <x v="8"/>
    <n v="1"/>
    <m/>
    <m/>
    <m/>
    <m/>
    <m/>
    <m/>
    <m/>
    <m/>
    <m/>
    <m/>
    <m/>
    <m/>
    <s v=""/>
    <m/>
    <n v="0"/>
  </r>
  <r>
    <x v="57"/>
    <s v="Dexia CL"/>
    <d v="2005-12-23T00:00:00"/>
    <d v="2007-05-01T00:00:00"/>
    <n v="18.170000000000002"/>
    <s v="Pente"/>
    <s v="Struct"/>
    <x v="8"/>
    <n v="1"/>
    <m/>
    <m/>
    <m/>
    <m/>
    <m/>
    <m/>
    <m/>
    <m/>
    <m/>
    <m/>
    <m/>
    <m/>
    <s v=""/>
    <m/>
    <n v="0"/>
  </r>
  <r>
    <x v="58"/>
    <s v="Caisse d'Épargne"/>
    <d v="2006-02-25T00:00:00"/>
    <d v="2007-07-25T00:00:00"/>
    <n v="20"/>
    <s v="Pente"/>
    <s v="Struct"/>
    <x v="8"/>
    <n v="1"/>
    <m/>
    <m/>
    <m/>
    <m/>
    <m/>
    <m/>
    <m/>
    <m/>
    <m/>
    <m/>
    <m/>
    <m/>
    <s v=""/>
    <m/>
    <n v="0"/>
  </r>
  <r>
    <x v="59"/>
    <s v="Dexia CL"/>
    <d v="2006-03-01T00:00:00"/>
    <d v="2010-10-01T00:00:00"/>
    <n v="16.25"/>
    <s v="Change"/>
    <s v="Struct"/>
    <x v="8"/>
    <n v="1"/>
    <m/>
    <m/>
    <m/>
    <m/>
    <n v="11244941.99"/>
    <n v="8921473"/>
    <m/>
    <n v="297542.77"/>
    <n v="1170424.6299999999"/>
    <m/>
    <n v="153077.6"/>
    <n v="1467967.4"/>
    <n v="0"/>
    <m/>
    <n v="0"/>
  </r>
  <r>
    <x v="60"/>
    <s v="Crédit Agricole"/>
    <d v="2006-03-06T00:00:00"/>
    <d v="2021-03-02T00:00:00"/>
    <n v="15"/>
    <s v="Barrière"/>
    <s v="Struct"/>
    <x v="8"/>
    <n v="1"/>
    <m/>
    <m/>
    <m/>
    <m/>
    <m/>
    <m/>
    <m/>
    <m/>
    <m/>
    <m/>
    <m/>
    <m/>
    <s v=""/>
    <m/>
    <n v="0"/>
  </r>
  <r>
    <x v="61"/>
    <s v="Crédit Agricole"/>
    <d v="2006-03-06T00:00:00"/>
    <d v="2021-03-06T00:00:00"/>
    <n v="15"/>
    <s v="Fixe"/>
    <s v="Non_st"/>
    <x v="8"/>
    <n v="1"/>
    <m/>
    <m/>
    <m/>
    <m/>
    <n v="5000000"/>
    <n v="4477025"/>
    <m/>
    <n v="171702.45"/>
    <n v="266136.05"/>
    <m/>
    <n v="133206.84"/>
    <n v="437838.5"/>
    <n v="0"/>
    <m/>
    <n v="0"/>
  </r>
  <r>
    <x v="62"/>
    <s v="Dexia CL"/>
    <d v="2006-05-12T00:00:00"/>
    <d v="2008-04-01T00:00:00"/>
    <n v="16.670000000000002"/>
    <s v="Fixe"/>
    <s v="Non_st"/>
    <x v="8"/>
    <n v="1"/>
    <m/>
    <m/>
    <m/>
    <m/>
    <n v="7500000"/>
    <n v="0"/>
    <m/>
    <n v="78987.5"/>
    <n v="125000"/>
    <m/>
    <n v="0"/>
    <n v="203987.5"/>
    <n v="0"/>
    <m/>
    <n v="7375000"/>
  </r>
  <r>
    <x v="63"/>
    <s v="Dexia CL"/>
    <d v="2006-07-01T00:00:00"/>
    <d v="2011-07-13T00:00:00"/>
    <n v="20"/>
    <s v="Change"/>
    <s v="Struct"/>
    <x v="8"/>
    <n v="1"/>
    <m/>
    <m/>
    <m/>
    <m/>
    <n v="16517587.16"/>
    <n v="15837587"/>
    <m/>
    <n v="648020.22"/>
    <n v="340000"/>
    <m/>
    <n v="317200"/>
    <n v="988020.22"/>
    <n v="0"/>
    <m/>
    <n v="0"/>
  </r>
  <r>
    <x v="64"/>
    <s v="Dexia CL"/>
    <d v="2006-07-01T00:00:00"/>
    <d v="2008-12-01T00:00:00"/>
    <n v="19.75"/>
    <s v="Pente"/>
    <s v="Struct"/>
    <x v="8"/>
    <n v="1"/>
    <m/>
    <m/>
    <m/>
    <m/>
    <n v="14054467.35"/>
    <n v="0"/>
    <m/>
    <n v="424312.34"/>
    <n v="896238.5"/>
    <m/>
    <n v="0"/>
    <n v="1320550.8400000001"/>
    <n v="0"/>
    <m/>
    <n v="12311000"/>
  </r>
  <r>
    <x v="65"/>
    <s v="Dexia CL"/>
    <d v="2006-10-01T00:00:00"/>
    <d v="2009-10-01T00:00:00"/>
    <n v="19"/>
    <s v="Change"/>
    <s v="Struct"/>
    <x v="8"/>
    <n v="1"/>
    <m/>
    <m/>
    <m/>
    <m/>
    <n v="12000000"/>
    <n v="11246513"/>
    <m/>
    <n v="395737.14"/>
    <n v="477874"/>
    <m/>
    <n v="94383.24"/>
    <n v="873611.14"/>
    <n v="0"/>
    <m/>
    <n v="0"/>
  </r>
  <r>
    <x v="66"/>
    <s v="Dexia CL"/>
    <d v="2006-10-01T00:00:00"/>
    <d v="2008-12-01T00:00:00"/>
    <n v="19.170000000000002"/>
    <s v="Change"/>
    <s v="Struct"/>
    <x v="8"/>
    <n v="1"/>
    <m/>
    <m/>
    <m/>
    <m/>
    <n v="12000000"/>
    <n v="0"/>
    <m/>
    <n v="356401.82"/>
    <n v="477874"/>
    <m/>
    <n v="0"/>
    <n v="834275.82000000007"/>
    <n v="0"/>
    <m/>
    <n v="11247000"/>
  </r>
  <r>
    <x v="70"/>
    <s v="Société générale"/>
    <d v="2007-10-01T00:00:00"/>
    <d v="2010-12-01T00:00:00"/>
    <n v="20"/>
    <s v="Barrière avec multiplicateur"/>
    <s v="Struct"/>
    <x v="8"/>
    <n v="1"/>
    <m/>
    <m/>
    <m/>
    <m/>
    <n v="3000000"/>
    <n v="2794480"/>
    <m/>
    <n v="105228.45"/>
    <n v="104775.06"/>
    <m/>
    <n v="0"/>
    <n v="210003.51"/>
    <n v="0"/>
    <m/>
    <n v="0"/>
  </r>
  <r>
    <x v="71"/>
    <s v="Société générale"/>
    <d v="2007-10-01T00:00:00"/>
    <d v="2010-10-01T00:00:00"/>
    <n v="20.079999999999998"/>
    <s v="Écart d'inflation"/>
    <s v="Struct"/>
    <x v="8"/>
    <n v="1"/>
    <m/>
    <m/>
    <m/>
    <m/>
    <n v="5000000"/>
    <n v="4832091"/>
    <m/>
    <n v="181500"/>
    <n v="167908.75"/>
    <m/>
    <n v="0"/>
    <n v="349408.75"/>
    <n v="0"/>
    <m/>
    <n v="0"/>
  </r>
  <r>
    <x v="72"/>
    <s v="Dexia CL"/>
    <d v="2007-02-01T00:00:00"/>
    <d v="2008-08-08T00:00:00"/>
    <n v="18.75"/>
    <s v="Change"/>
    <s v="Struct"/>
    <x v="8"/>
    <n v="1"/>
    <m/>
    <m/>
    <m/>
    <m/>
    <n v="20001887.469999999"/>
    <n v="0"/>
    <m/>
    <n v="361189.6"/>
    <n v="1527471.46"/>
    <m/>
    <n v="0"/>
    <n v="1888661.06"/>
    <n v="0"/>
    <m/>
    <n v="17170000"/>
  </r>
  <r>
    <x v="73"/>
    <s v="Crédit Agricole"/>
    <d v="2007-04-10T00:00:00"/>
    <d v="2028-03-01T00:00:00"/>
    <n v="20"/>
    <s v="Pente"/>
    <s v="Struct"/>
    <x v="8"/>
    <n v="1"/>
    <m/>
    <m/>
    <m/>
    <m/>
    <n v="5000000"/>
    <n v="4879476"/>
    <m/>
    <n v="183638.39999999999"/>
    <n v="120524.22"/>
    <m/>
    <n v="14231.8"/>
    <n v="304162.62"/>
    <n v="0"/>
    <m/>
    <n v="0"/>
  </r>
  <r>
    <x v="85"/>
    <s v="Dexia CL"/>
    <d v="2008-04-01T00:00:00"/>
    <d v="2009-11-01T00:00:00"/>
    <n v="25.67"/>
    <s v="Pente"/>
    <s v="Struct"/>
    <x v="8"/>
    <n v="1"/>
    <m/>
    <m/>
    <m/>
    <m/>
    <n v="13760792.98"/>
    <n v="13306192.67"/>
    <m/>
    <n v="292210.44"/>
    <n v="454600.31"/>
    <m/>
    <n v="61873.8"/>
    <n v="746810.75"/>
    <n v="0"/>
    <m/>
    <n v="0"/>
  </r>
  <r>
    <x v="74"/>
    <s v="Dexia CL"/>
    <d v="2007-05-01T00:00:00"/>
    <d v="2009-12-29T00:00:00"/>
    <n v="17"/>
    <s v="Courbes"/>
    <s v="Struct"/>
    <x v="8"/>
    <n v="1"/>
    <m/>
    <m/>
    <m/>
    <m/>
    <n v="16991098.010000002"/>
    <n v="16326665"/>
    <m/>
    <n v="449131.36"/>
    <n v="664432.76"/>
    <m/>
    <n v="287712.13"/>
    <n v="1113564.1200000001"/>
    <n v="0"/>
    <m/>
    <n v="0"/>
  </r>
  <r>
    <x v="75"/>
    <s v="Dexia CL"/>
    <d v="2007-05-01T00:00:00"/>
    <d v="2009-12-29T00:00:00"/>
    <n v="16.920000000000002"/>
    <s v="Écart d'inflation"/>
    <s v="Struct"/>
    <x v="8"/>
    <n v="1"/>
    <m/>
    <m/>
    <m/>
    <m/>
    <n v="14464967.939999999"/>
    <n v="13852986"/>
    <m/>
    <n v="376757.71"/>
    <n v="563763.47"/>
    <m/>
    <n v="285609.96999999997"/>
    <n v="940521.17999999993"/>
    <n v="0"/>
    <m/>
    <n v="0"/>
  </r>
  <r>
    <x v="76"/>
    <s v="Société générale"/>
    <d v="2007-05-24T00:00:00"/>
    <d v="2009-04-01T00:00:00"/>
    <n v="19"/>
    <s v="Change"/>
    <s v="Struct"/>
    <x v="8"/>
    <n v="1"/>
    <m/>
    <m/>
    <m/>
    <m/>
    <n v="4000000"/>
    <n v="4000000"/>
    <m/>
    <n v="14174.69"/>
    <n v="0"/>
    <m/>
    <n v="95900"/>
    <n v="14174.69"/>
    <n v="0"/>
    <m/>
    <n v="0"/>
  </r>
  <r>
    <x v="77"/>
    <s v="Caisse d'Épargne"/>
    <d v="2007-07-25T00:00:00"/>
    <d v="2012-02-25T00:00:00"/>
    <n v="18.579999999999998"/>
    <s v="Courbes"/>
    <s v="Struct"/>
    <x v="8"/>
    <n v="1"/>
    <m/>
    <m/>
    <m/>
    <m/>
    <n v="15000869.08"/>
    <n v="14306507"/>
    <m/>
    <n v="197094.75"/>
    <n v="694362.58"/>
    <m/>
    <n v="0"/>
    <n v="891457.33"/>
    <n v="0"/>
    <m/>
    <n v="0"/>
  </r>
  <r>
    <x v="78"/>
    <s v="Dexia CL"/>
    <d v="2007-08-30T00:00:00"/>
    <d v="2011-04-01T00:00:00"/>
    <n v="25"/>
    <s v="Courbes"/>
    <s v="Struct"/>
    <x v="8"/>
    <n v="1"/>
    <m/>
    <m/>
    <m/>
    <m/>
    <n v="14311242"/>
    <n v="19598660"/>
    <m/>
    <n v="7558.45"/>
    <n v="0"/>
    <m/>
    <n v="0"/>
    <n v="7558.45"/>
    <n v="0"/>
    <m/>
    <n v="0"/>
  </r>
  <r>
    <x v="79"/>
    <s v="Société générale"/>
    <d v="2007-10-01T00:00:00"/>
    <d v="2010-09-01T00:00:00"/>
    <n v="20"/>
    <s v="Courbes"/>
    <s v="Struct"/>
    <x v="8"/>
    <n v="1"/>
    <m/>
    <m/>
    <m/>
    <m/>
    <n v="2000000"/>
    <n v="1932837"/>
    <m/>
    <n v="55510"/>
    <n v="67163.5"/>
    <m/>
    <n v="0"/>
    <n v="122673.5"/>
    <n v="0"/>
    <m/>
    <n v="0"/>
  </r>
  <r>
    <x v="80"/>
    <s v="Dexia CL"/>
    <d v="2007-09-25T00:00:00"/>
    <d v="2010-01-01T00:00:00"/>
    <n v="25.42"/>
    <s v="Barrière avec multiplicateur"/>
    <s v="Struct"/>
    <x v="8"/>
    <n v="1"/>
    <m/>
    <m/>
    <m/>
    <m/>
    <n v="8721943.1600000001"/>
    <n v="10721943"/>
    <m/>
    <n v="8819.56"/>
    <n v="0"/>
    <m/>
    <n v="0"/>
    <n v="8819.56"/>
    <n v="0"/>
    <m/>
    <n v="0"/>
  </r>
  <r>
    <x v="81"/>
    <s v="Dexia CL"/>
    <d v="2008-04-01T00:00:00"/>
    <d v="2008-12-01T00:00:00"/>
    <n v="26.42"/>
    <s v="Change"/>
    <s v="Struct"/>
    <x v="8"/>
    <n v="1"/>
    <m/>
    <m/>
    <m/>
    <m/>
    <n v="9375000"/>
    <n v="0"/>
    <m/>
    <n v="154196.68"/>
    <n v="375000"/>
    <m/>
    <n v="0"/>
    <n v="529196.67999999993"/>
    <n v="0"/>
    <m/>
    <n v="9000000"/>
  </r>
  <r>
    <x v="82"/>
    <s v="Caisse d'Épargne"/>
    <d v="2007-12-31T00:00:00"/>
    <d v="2013-02-25T00:00:00"/>
    <n v="20"/>
    <s v="Courbes"/>
    <s v="Struct"/>
    <x v="8"/>
    <n v="1"/>
    <m/>
    <m/>
    <m/>
    <m/>
    <n v="5000000"/>
    <n v="5000000"/>
    <m/>
    <n v="54519.44"/>
    <n v="0"/>
    <m/>
    <n v="0"/>
    <n v="54519.44"/>
    <n v="0"/>
    <m/>
    <n v="0"/>
  </r>
  <r>
    <x v="92"/>
    <s v="Dexia CL"/>
    <d v="2009-12-01T00:00:00"/>
    <d v="2012-05-01T00:00:00"/>
    <n v="20.83"/>
    <s v="Change"/>
    <s v="Struct"/>
    <x v="8"/>
    <n v="0"/>
    <m/>
    <m/>
    <m/>
    <m/>
    <n v="0"/>
    <n v="0"/>
    <m/>
    <n v="0"/>
    <n v="0"/>
    <m/>
    <n v="0"/>
    <n v="0"/>
    <n v="0"/>
    <m/>
    <n v="0"/>
  </r>
  <r>
    <x v="86"/>
    <s v="Dexia CL"/>
    <d v="2009-12-29T00:00:00"/>
    <d v="2010-05-01T00:00:00"/>
    <n v="20.83"/>
    <s v="Courbes"/>
    <s v="Struct"/>
    <x v="8"/>
    <n v="0"/>
    <m/>
    <m/>
    <m/>
    <m/>
    <m/>
    <m/>
    <m/>
    <m/>
    <m/>
    <m/>
    <m/>
    <m/>
    <s v=""/>
    <m/>
    <n v="0"/>
  </r>
  <r>
    <x v="87"/>
    <s v="Dexia CL"/>
    <d v="2008-08-08T00:00:00"/>
    <d v="2011-11-01T00:00:00"/>
    <n v="25.33"/>
    <s v="Change"/>
    <s v="Struct"/>
    <x v="8"/>
    <n v="1"/>
    <m/>
    <m/>
    <m/>
    <m/>
    <n v="11085434.300000001"/>
    <n v="11085434"/>
    <m/>
    <n v="348.92"/>
    <n v="0"/>
    <m/>
    <n v="34919.120000000003"/>
    <n v="348.92"/>
    <n v="0"/>
    <m/>
    <n v="0"/>
  </r>
  <r>
    <x v="88"/>
    <s v="Dexia CL"/>
    <d v="2008-08-08T00:00:00"/>
    <d v="2012-11-01T00:00:00"/>
    <n v="25.33"/>
    <s v="Change"/>
    <s v="Struct"/>
    <x v="8"/>
    <n v="1"/>
    <m/>
    <m/>
    <m/>
    <m/>
    <n v="11085434.300000001"/>
    <n v="11085434"/>
    <m/>
    <n v="232.62"/>
    <n v="0"/>
    <m/>
    <n v="34734.36"/>
    <n v="232.62"/>
    <n v="0"/>
    <m/>
    <n v="0"/>
  </r>
  <r>
    <x v="89"/>
    <s v="Dexia CL"/>
    <d v="2012-11-01T00:00:00"/>
    <d v="2017-11-01T00:00:00"/>
    <n v="25"/>
    <s v="Change"/>
    <s v="Struct"/>
    <x v="8"/>
    <n v="0"/>
    <m/>
    <m/>
    <m/>
    <m/>
    <m/>
    <m/>
    <m/>
    <m/>
    <m/>
    <m/>
    <m/>
    <m/>
    <s v=""/>
    <m/>
    <n v="0"/>
  </r>
  <r>
    <x v="90"/>
    <s v="Dexia CL"/>
    <d v="2008-12-01T00:00:00"/>
    <d v="2010-12-01T00:00:00"/>
    <n v="17"/>
    <s v="Change"/>
    <s v="Struct"/>
    <x v="8"/>
    <n v="1"/>
    <m/>
    <m/>
    <m/>
    <m/>
    <n v="11246513"/>
    <n v="11246513"/>
    <m/>
    <n v="0"/>
    <n v="0"/>
    <m/>
    <n v="28022.560000000001"/>
    <n v="0"/>
    <n v="0"/>
    <m/>
    <n v="0"/>
  </r>
  <r>
    <x v="91"/>
    <s v="Dexia CL"/>
    <d v="2008-12-01T00:00:00"/>
    <d v="2012-12-01T00:00:00"/>
    <n v="25"/>
    <s v="Pente"/>
    <s v="Struct"/>
    <x v="8"/>
    <n v="1"/>
    <m/>
    <m/>
    <m/>
    <m/>
    <n v="9000000"/>
    <n v="9000000"/>
    <m/>
    <n v="0"/>
    <n v="0"/>
    <m/>
    <n v="16125"/>
    <n v="0"/>
    <n v="0"/>
    <m/>
    <n v="0"/>
  </r>
  <r>
    <x v="93"/>
    <s v="Dexia CL"/>
    <d v="2009-03-27T00:00:00"/>
    <d v="2029-04-01T00:00:00"/>
    <n v="20"/>
    <s v="Fixe"/>
    <s v="Non_st"/>
    <x v="8"/>
    <n v="0"/>
    <m/>
    <m/>
    <m/>
    <m/>
    <m/>
    <m/>
    <m/>
    <m/>
    <m/>
    <m/>
    <m/>
    <m/>
    <s v=""/>
    <m/>
    <n v="0"/>
  </r>
  <r>
    <x v="94"/>
    <s v="Société générale"/>
    <d v="2009-04-01T00:00:00"/>
    <d v="2010-10-01T00:00:00"/>
    <n v="18"/>
    <s v="Change"/>
    <s v="Struct"/>
    <x v="8"/>
    <n v="0"/>
    <m/>
    <m/>
    <m/>
    <m/>
    <m/>
    <m/>
    <m/>
    <m/>
    <m/>
    <m/>
    <m/>
    <m/>
    <s v=""/>
    <m/>
    <n v="0"/>
  </r>
  <r>
    <x v="95"/>
    <s v="Dexia CL"/>
    <d v="2009-10-01T00:00:00"/>
    <d v="2010-10-01T00:00:00"/>
    <n v="16"/>
    <s v="Change"/>
    <s v="Struct"/>
    <x v="8"/>
    <n v="0"/>
    <m/>
    <m/>
    <m/>
    <m/>
    <m/>
    <m/>
    <m/>
    <m/>
    <m/>
    <m/>
    <m/>
    <m/>
    <s v=""/>
    <m/>
    <n v="0"/>
  </r>
  <r>
    <x v="96"/>
    <s v="Dexia CL"/>
    <d v="2009-11-16T00:00:00"/>
    <d v="2011-12-01T00:00:00"/>
    <n v="25"/>
    <s v="Variable"/>
    <s v="Non_st"/>
    <x v="8"/>
    <n v="0"/>
    <m/>
    <m/>
    <m/>
    <m/>
    <m/>
    <m/>
    <m/>
    <m/>
    <m/>
    <m/>
    <m/>
    <m/>
    <s v=""/>
    <m/>
    <n v="0"/>
  </r>
  <r>
    <x v="67"/>
    <s v="Caisse d'Épargne"/>
    <d v="2006-11-29T00:00:00"/>
    <d v="2009-11-25T00:00:00"/>
    <n v="20"/>
    <s v="Pente"/>
    <s v="Struct"/>
    <x v="8"/>
    <n v="1"/>
    <m/>
    <m/>
    <m/>
    <m/>
    <n v="5000000"/>
    <n v="4638022"/>
    <m/>
    <n v="164192.82"/>
    <n v="182907.6"/>
    <m/>
    <n v="15537.37"/>
    <n v="347100.42000000004"/>
    <n v="0"/>
    <m/>
    <n v="0"/>
  </r>
  <r>
    <x v="97"/>
    <s v="Arkea"/>
    <d v="2009-12-21T00:00:00"/>
    <d v="2030-10-30T00:00:00"/>
    <n v="20"/>
    <s v="Variable"/>
    <s v="Non_st"/>
    <x v="8"/>
    <n v="0"/>
    <m/>
    <m/>
    <m/>
    <m/>
    <m/>
    <m/>
    <m/>
    <m/>
    <m/>
    <m/>
    <m/>
    <m/>
    <s v=""/>
    <m/>
    <n v="0"/>
  </r>
  <r>
    <x v="13"/>
    <s v="Crédit Mutuel"/>
    <d v="1999-12-01T00:00:00"/>
    <d v="2014-11-30T00:00:00"/>
    <n v="15"/>
    <s v="Fixe à phase"/>
    <s v="Non_st"/>
    <x v="9"/>
    <n v="1"/>
    <m/>
    <s v="A"/>
    <d v="2000-11-30T00:00:00"/>
    <d v="2000-11-30T00:00:00"/>
    <n v="1524490.17"/>
    <n v="703753"/>
    <n v="3.5249999999999997E-2"/>
    <n v="29273.63"/>
    <n v="126704.84"/>
    <m/>
    <n v="2106.92"/>
    <n v="155978.47"/>
    <n v="0"/>
    <m/>
    <n v="0"/>
  </r>
  <r>
    <x v="12"/>
    <s v="Crédit Mutuel"/>
    <d v="2001-02-28T00:00:00"/>
    <d v="2016-02-29T00:00:00"/>
    <n v="15"/>
    <s v="Fixe"/>
    <s v="Non_st"/>
    <x v="9"/>
    <n v="1"/>
    <m/>
    <m/>
    <d v="2002-02-28T00:00:00"/>
    <d v="2004-02-28T00:00:00"/>
    <m/>
    <n v="328352"/>
    <n v="4.99E-2"/>
    <n v="13257.9"/>
    <n v="46907.39"/>
    <n v="5526.0499999999956"/>
    <n v="13736.26"/>
    <n v="65691.34"/>
    <n v="0"/>
    <m/>
    <n v="0"/>
  </r>
  <r>
    <x v="14"/>
    <s v="CDC"/>
    <d v="2001-04-25T00:00:00"/>
    <d v="2004-04-25T00:00:00"/>
    <n v="3"/>
    <s v="Fixe"/>
    <s v="Non_st"/>
    <x v="9"/>
    <n v="1"/>
    <m/>
    <m/>
    <m/>
    <m/>
    <m/>
    <m/>
    <m/>
    <m/>
    <m/>
    <m/>
    <m/>
    <m/>
    <s v=""/>
    <m/>
    <n v="0"/>
  </r>
  <r>
    <x v="17"/>
    <s v="CDC"/>
    <d v="2002-01-25T00:00:00"/>
    <d v="2009-01-25T00:00:00"/>
    <n v="7"/>
    <s v="Fixe"/>
    <s v="Non_st"/>
    <x v="9"/>
    <n v="1"/>
    <m/>
    <m/>
    <m/>
    <m/>
    <m/>
    <m/>
    <m/>
    <m/>
    <m/>
    <m/>
    <m/>
    <m/>
    <s v=""/>
    <m/>
    <n v="0"/>
  </r>
  <r>
    <x v="18"/>
    <s v="CDC"/>
    <d v="2002-02-01T00:00:00"/>
    <d v="2022-02-01T00:00:00"/>
    <n v="20"/>
    <s v="Livret A"/>
    <s v="Livr_A"/>
    <x v="9"/>
    <n v="1"/>
    <m/>
    <m/>
    <d v="2003-02-01T00:00:00"/>
    <d v="2003-02-01T00:00:00"/>
    <n v="2137796"/>
    <n v="1519614"/>
    <n v="2.5000000000000001E-2"/>
    <n v="56219.89"/>
    <n v="86668.71"/>
    <m/>
    <n v="34307.21"/>
    <n v="142888.6"/>
    <n v="0"/>
    <m/>
    <n v="0"/>
  </r>
  <r>
    <x v="19"/>
    <s v="CDC"/>
    <d v="2002-04-01T00:00:00"/>
    <d v="2022-04-01T00:00:00"/>
    <n v="20"/>
    <s v="Livret A"/>
    <s v="Livr_A"/>
    <x v="9"/>
    <n v="1"/>
    <m/>
    <m/>
    <m/>
    <m/>
    <m/>
    <m/>
    <m/>
    <m/>
    <m/>
    <m/>
    <m/>
    <m/>
    <s v=""/>
    <m/>
    <n v="0"/>
  </r>
  <r>
    <x v="20"/>
    <s v="Crédit Agricole"/>
    <d v="2002-04-15T00:00:00"/>
    <d v="2017-04-18T00:00:00"/>
    <n v="15"/>
    <s v="Barrière hors zone EUR"/>
    <s v="Struct"/>
    <x v="9"/>
    <n v="1"/>
    <m/>
    <m/>
    <d v="2003-04-15T00:00:00"/>
    <d v="2003-04-15T00:00:00"/>
    <n v="13097112.84"/>
    <n v="7816772"/>
    <n v="1.9276999999999999E-2"/>
    <n v="166654.59"/>
    <n v="834367.85"/>
    <m/>
    <n v="107263.48"/>
    <n v="1001022.44"/>
    <n v="0"/>
    <m/>
    <n v="0"/>
  </r>
  <r>
    <x v="26"/>
    <s v="CDC"/>
    <d v="2002-10-01T00:00:00"/>
    <d v="2002-10-01T00:00:00"/>
    <n v="20"/>
    <s v="Livret A"/>
    <s v="Livr_A"/>
    <x v="9"/>
    <n v="1"/>
    <m/>
    <m/>
    <m/>
    <m/>
    <m/>
    <m/>
    <m/>
    <m/>
    <m/>
    <m/>
    <m/>
    <m/>
    <s v=""/>
    <m/>
    <n v="0"/>
  </r>
  <r>
    <x v="28"/>
    <s v="CDC"/>
    <d v="2002-12-31T00:00:00"/>
    <d v="2023-01-01T00:00:00"/>
    <n v="20"/>
    <s v="Livret A"/>
    <s v="Livr_A"/>
    <x v="9"/>
    <n v="1"/>
    <m/>
    <m/>
    <m/>
    <m/>
    <m/>
    <m/>
    <m/>
    <m/>
    <m/>
    <m/>
    <m/>
    <m/>
    <s v=""/>
    <m/>
    <n v="0"/>
  </r>
  <r>
    <x v="33"/>
    <s v="Dexia CL"/>
    <d v="2003-05-15T00:00:00"/>
    <d v="2008-04-01T00:00:00"/>
    <n v="20"/>
    <s v="Barrière hors zone EUR"/>
    <s v="Struct"/>
    <x v="9"/>
    <n v="1"/>
    <m/>
    <m/>
    <m/>
    <m/>
    <m/>
    <m/>
    <m/>
    <m/>
    <m/>
    <m/>
    <m/>
    <m/>
    <s v=""/>
    <m/>
    <n v="0"/>
  </r>
  <r>
    <x v="35"/>
    <s v="Caisse d'Épargne"/>
    <d v="2003-07-01T00:00:00"/>
    <d v="2006-02-25T00:00:00"/>
    <n v="20"/>
    <s v="Barrière hors zone EUR"/>
    <s v="Struct"/>
    <x v="9"/>
    <n v="1"/>
    <m/>
    <m/>
    <m/>
    <m/>
    <m/>
    <m/>
    <m/>
    <m/>
    <m/>
    <m/>
    <m/>
    <m/>
    <s v=""/>
    <m/>
    <n v="0"/>
  </r>
  <r>
    <x v="37"/>
    <s v="Caisse d'Épargne"/>
    <d v="2003-09-01T00:00:00"/>
    <d v="2006-09-01T00:00:00"/>
    <n v="3"/>
    <s v="Fixe"/>
    <s v="Non_st"/>
    <x v="9"/>
    <n v="1"/>
    <m/>
    <m/>
    <m/>
    <m/>
    <m/>
    <m/>
    <m/>
    <m/>
    <m/>
    <m/>
    <m/>
    <m/>
    <s v=""/>
    <m/>
    <n v="0"/>
  </r>
  <r>
    <x v="38"/>
    <s v="Caisse d'Épargne"/>
    <d v="2004-02-05T00:00:00"/>
    <d v="2011-06-25T00:00:00"/>
    <n v="7"/>
    <s v="Fixe"/>
    <s v="Non_st"/>
    <x v="9"/>
    <n v="1"/>
    <m/>
    <m/>
    <d v="2004-06-25T00:00:00"/>
    <d v="2004-06-25T00:00:00"/>
    <n v="4324063.92"/>
    <n v="1177234"/>
    <n v="3.7999999999999999E-2"/>
    <n v="65881.7"/>
    <n v="556494.99"/>
    <m/>
    <n v="23164.09"/>
    <n v="622376.68999999994"/>
    <n v="0"/>
    <m/>
    <n v="0"/>
  </r>
  <r>
    <x v="49"/>
    <s v="Crédit Mutuel"/>
    <d v="2005-03-24T00:00:00"/>
    <d v="2010-03-23T00:00:00"/>
    <n v="5"/>
    <s v="Fixe"/>
    <s v="Non_st"/>
    <x v="9"/>
    <n v="1"/>
    <m/>
    <m/>
    <d v="2006-02-28T00:00:00"/>
    <d v="2006-02-28T00:00:00"/>
    <n v="1808556"/>
    <n v="383188"/>
    <n v="2.9700000000000001E-2"/>
    <n v="22433.09"/>
    <n v="372135.18"/>
    <m/>
    <n v="9541.0499999999993"/>
    <n v="394568.27"/>
    <n v="0"/>
    <m/>
    <n v="0"/>
  </r>
  <r>
    <x v="52"/>
    <s v="CDC"/>
    <d v="2005-05-01T00:00:00"/>
    <d v="2011-04-30T00:00:00"/>
    <n v="6"/>
    <s v="Variable"/>
    <s v="Non_st"/>
    <x v="9"/>
    <n v="1"/>
    <m/>
    <m/>
    <m/>
    <m/>
    <m/>
    <m/>
    <m/>
    <m/>
    <m/>
    <m/>
    <m/>
    <m/>
    <s v=""/>
    <m/>
    <n v="0"/>
  </r>
  <r>
    <x v="53"/>
    <s v="CDC"/>
    <d v="2005-05-01T00:00:00"/>
    <d v="2013-04-29T00:00:00"/>
    <n v="8"/>
    <s v="Variable"/>
    <s v="Non_st"/>
    <x v="9"/>
    <n v="1"/>
    <m/>
    <m/>
    <d v="2005-07-20T00:00:00"/>
    <d v="2006-05-01T00:00:00"/>
    <n v="3425073.34"/>
    <n v="1793296"/>
    <n v="1.9054000000000001E-2"/>
    <n v="114687.2"/>
    <n v="422494.84"/>
    <m/>
    <n v="22826.27"/>
    <n v="537182.04"/>
    <n v="0"/>
    <m/>
    <n v="0"/>
  </r>
  <r>
    <x v="59"/>
    <s v="Dexia CL"/>
    <d v="2006-03-01T00:00:00"/>
    <d v="2010-10-01T00:00:00"/>
    <n v="16.25"/>
    <s v="Change"/>
    <s v="Struct"/>
    <x v="9"/>
    <n v="1"/>
    <m/>
    <m/>
    <d v="2007-06-01T00:00:00"/>
    <d v="2007-06-01T00:00:00"/>
    <n v="11244942"/>
    <n v="7740150"/>
    <n v="2.9423000000000001E-2"/>
    <n v="262316.07"/>
    <n v="1181323"/>
    <m/>
    <n v="132808.07"/>
    <n v="1443639.07"/>
    <n v="0"/>
    <m/>
    <n v="0"/>
  </r>
  <r>
    <x v="60"/>
    <s v="Crédit Agricole"/>
    <d v="2006-03-06T00:00:00"/>
    <d v="2021-03-02T00:00:00"/>
    <n v="15"/>
    <s v="Barrière"/>
    <s v="Struct"/>
    <x v="9"/>
    <n v="1"/>
    <m/>
    <m/>
    <m/>
    <m/>
    <m/>
    <m/>
    <m/>
    <m/>
    <m/>
    <m/>
    <m/>
    <m/>
    <s v=""/>
    <m/>
    <n v="0"/>
  </r>
  <r>
    <x v="61"/>
    <s v="Crédit Agricole"/>
    <d v="2006-03-06T00:00:00"/>
    <d v="2021-03-06T00:00:00"/>
    <n v="15"/>
    <s v="Fixe"/>
    <s v="Non_st"/>
    <x v="9"/>
    <n v="1"/>
    <m/>
    <m/>
    <d v="2007-03-06T00:00:00"/>
    <d v="2007-03-06T00:00:00"/>
    <n v="5000000"/>
    <n v="4201255"/>
    <n v="3.6200000000000003E-2"/>
    <n v="162068.32"/>
    <n v="275770.18"/>
    <m/>
    <n v="125001.73"/>
    <n v="437838.5"/>
    <n v="0"/>
    <m/>
    <n v="0"/>
  </r>
  <r>
    <x v="62"/>
    <s v="Dexia CL"/>
    <d v="2006-05-12T00:00:00"/>
    <d v="2008-04-01T00:00:00"/>
    <n v="16.670000000000002"/>
    <s v="Fixe"/>
    <s v="Non_st"/>
    <x v="9"/>
    <n v="1"/>
    <m/>
    <m/>
    <m/>
    <m/>
    <m/>
    <m/>
    <m/>
    <m/>
    <m/>
    <m/>
    <m/>
    <m/>
    <s v=""/>
    <m/>
    <n v="0"/>
  </r>
  <r>
    <x v="63"/>
    <s v="Dexia CL"/>
    <d v="2006-07-01T00:00:00"/>
    <d v="2011-07-13T00:00:00"/>
    <n v="20"/>
    <s v="Change"/>
    <s v="Struct"/>
    <x v="9"/>
    <n v="1"/>
    <m/>
    <m/>
    <d v="2007-07-01T00:00:00"/>
    <d v="2007-07-01T00:00:00"/>
    <n v="16517587.16"/>
    <n v="15274621"/>
    <n v="3.9974999999999997E-2"/>
    <n v="632667.61"/>
    <n v="562966.39"/>
    <m/>
    <n v="305925.2"/>
    <n v="1195634"/>
    <n v="0"/>
    <m/>
    <n v="0"/>
  </r>
  <r>
    <x v="64"/>
    <s v="Dexia CL"/>
    <d v="2006-07-01T00:00:00"/>
    <d v="2008-12-01T00:00:00"/>
    <n v="19.75"/>
    <s v="Pente"/>
    <s v="Struct"/>
    <x v="9"/>
    <n v="1"/>
    <m/>
    <m/>
    <m/>
    <m/>
    <m/>
    <m/>
    <m/>
    <m/>
    <m/>
    <m/>
    <m/>
    <m/>
    <s v=""/>
    <m/>
    <n v="0"/>
  </r>
  <r>
    <x v="65"/>
    <s v="Dexia CL"/>
    <d v="2006-10-01T00:00:00"/>
    <d v="2009-10-01T00:00:00"/>
    <n v="19"/>
    <s v="Change"/>
    <s v="Struct"/>
    <x v="9"/>
    <n v="1"/>
    <m/>
    <m/>
    <m/>
    <m/>
    <n v="12000000"/>
    <n v="0"/>
    <m/>
    <n v="437864.24"/>
    <n v="435224"/>
    <m/>
    <n v="90730.74"/>
    <n v="873088.24"/>
    <n v="0"/>
    <m/>
    <n v="10811000"/>
  </r>
  <r>
    <x v="66"/>
    <s v="Dexia CL"/>
    <d v="2006-10-01T00:00:00"/>
    <d v="2008-12-01T00:00:00"/>
    <n v="19.170000000000002"/>
    <s v="Change"/>
    <s v="Struct"/>
    <x v="9"/>
    <n v="1"/>
    <m/>
    <m/>
    <m/>
    <m/>
    <m/>
    <m/>
    <m/>
    <m/>
    <m/>
    <m/>
    <m/>
    <m/>
    <s v=""/>
    <m/>
    <n v="0"/>
  </r>
  <r>
    <x v="70"/>
    <s v="Société générale"/>
    <d v="2007-10-01T00:00:00"/>
    <d v="2010-12-01T00:00:00"/>
    <n v="20"/>
    <s v="Barrière avec multiplicateur"/>
    <s v="Struct"/>
    <x v="9"/>
    <n v="1"/>
    <m/>
    <m/>
    <m/>
    <m/>
    <m/>
    <n v="2685514"/>
    <m/>
    <n v="101216.42499999999"/>
    <n v="109049.88"/>
    <m/>
    <n v="0"/>
    <n v="210266.30499999999"/>
    <n v="0"/>
    <m/>
    <n v="0"/>
  </r>
  <r>
    <x v="71"/>
    <s v="Société générale"/>
    <d v="2007-10-01T00:00:00"/>
    <d v="2010-10-01T00:00:00"/>
    <n v="20.079999999999998"/>
    <s v="Écart d'inflation"/>
    <s v="Struct"/>
    <x v="9"/>
    <n v="1"/>
    <m/>
    <m/>
    <m/>
    <m/>
    <n v="5000000"/>
    <n v="4657466"/>
    <n v="3.3480999999999997E-2"/>
    <n v="162116.66"/>
    <n v="174625.1"/>
    <m/>
    <n v="0"/>
    <n v="336741.76"/>
    <n v="0"/>
    <m/>
    <n v="0"/>
  </r>
  <r>
    <x v="72"/>
    <s v="Dexia CL"/>
    <d v="2007-02-01T00:00:00"/>
    <d v="2008-08-08T00:00:00"/>
    <n v="18.75"/>
    <s v="Change"/>
    <s v="Struct"/>
    <x v="9"/>
    <n v="1"/>
    <m/>
    <m/>
    <m/>
    <m/>
    <m/>
    <m/>
    <m/>
    <m/>
    <m/>
    <m/>
    <m/>
    <m/>
    <s v=""/>
    <m/>
    <n v="0"/>
  </r>
  <r>
    <x v="73"/>
    <s v="Crédit Agricole"/>
    <d v="2007-04-10T00:00:00"/>
    <d v="2028-03-01T00:00:00"/>
    <n v="20"/>
    <s v="Pente"/>
    <s v="Struct"/>
    <x v="9"/>
    <n v="1"/>
    <m/>
    <m/>
    <m/>
    <m/>
    <n v="5000000"/>
    <n v="4712643"/>
    <n v="4.2104999999999997E-2"/>
    <n v="184472.81"/>
    <n v="166832.51"/>
    <n v="-1590.429999999993"/>
    <n v="13745.21"/>
    <n v="349714.89"/>
    <n v="0"/>
    <m/>
    <n v="0"/>
  </r>
  <r>
    <x v="85"/>
    <s v="Dexia CL"/>
    <d v="2008-04-01T00:00:00"/>
    <d v="2009-11-01T00:00:00"/>
    <n v="25.67"/>
    <s v="Pente"/>
    <s v="Struct"/>
    <x v="9"/>
    <n v="1"/>
    <m/>
    <m/>
    <m/>
    <m/>
    <n v="13760792.98"/>
    <n v="0"/>
    <m/>
    <n v="376398.93"/>
    <n v="419845.93"/>
    <m/>
    <n v="80324.89"/>
    <n v="796244.86"/>
    <n v="0"/>
    <m/>
    <n v="12886000"/>
  </r>
  <r>
    <x v="74"/>
    <s v="Dexia CL"/>
    <d v="2007-05-01T00:00:00"/>
    <d v="2009-12-29T00:00:00"/>
    <n v="17"/>
    <s v="Courbes"/>
    <s v="Struct"/>
    <x v="9"/>
    <n v="1"/>
    <m/>
    <m/>
    <m/>
    <m/>
    <n v="16991098.010000002"/>
    <n v="0"/>
    <m/>
    <n v="430389.04"/>
    <n v="596319.31000000006"/>
    <m/>
    <n v="405143.8"/>
    <n v="1026708.3500000001"/>
    <n v="0"/>
    <m/>
    <n v="15730000"/>
  </r>
  <r>
    <x v="75"/>
    <s v="Dexia CL"/>
    <d v="2007-05-01T00:00:00"/>
    <d v="2009-12-29T00:00:00"/>
    <n v="16.920000000000002"/>
    <s v="Écart d'inflation"/>
    <s v="Struct"/>
    <x v="9"/>
    <n v="1"/>
    <m/>
    <m/>
    <m/>
    <m/>
    <n v="13957410.35"/>
    <n v="0"/>
    <m/>
    <n v="426705.13"/>
    <n v="505970"/>
    <m/>
    <n v="462100.38"/>
    <n v="932675.13"/>
    <n v="0"/>
    <m/>
    <n v="13347000"/>
  </r>
  <r>
    <x v="76"/>
    <s v="Société générale"/>
    <d v="2007-05-24T00:00:00"/>
    <d v="2009-04-01T00:00:00"/>
    <n v="19"/>
    <s v="Change"/>
    <s v="Struct"/>
    <x v="9"/>
    <n v="1"/>
    <m/>
    <m/>
    <m/>
    <m/>
    <m/>
    <m/>
    <m/>
    <m/>
    <m/>
    <m/>
    <m/>
    <m/>
    <s v=""/>
    <m/>
    <n v="4000000"/>
  </r>
  <r>
    <x v="77"/>
    <s v="Caisse d'Épargne"/>
    <d v="2007-07-25T00:00:00"/>
    <d v="2012-02-25T00:00:00"/>
    <n v="18.579999999999998"/>
    <s v="Courbes"/>
    <s v="Struct"/>
    <x v="9"/>
    <n v="1"/>
    <m/>
    <m/>
    <m/>
    <m/>
    <n v="15000869.08"/>
    <n v="13594768"/>
    <n v="2.2321000000000001E-2"/>
    <n v="319988.86"/>
    <n v="711738.31"/>
    <m/>
    <n v="0"/>
    <n v="1031727.17"/>
    <n v="0"/>
    <m/>
    <n v="0"/>
  </r>
  <r>
    <x v="78"/>
    <s v="Dexia CL"/>
    <d v="2007-08-30T00:00:00"/>
    <d v="2011-04-01T00:00:00"/>
    <n v="25"/>
    <s v="Courbes"/>
    <s v="Struct"/>
    <x v="9"/>
    <n v="1"/>
    <m/>
    <m/>
    <m/>
    <m/>
    <n v="14311242.439999999"/>
    <n v="13853288"/>
    <m/>
    <n v="311965.21000000002"/>
    <n v="457954.3"/>
    <m/>
    <n v="0"/>
    <n v="769919.51"/>
    <n v="0"/>
    <m/>
    <n v="0"/>
  </r>
  <r>
    <x v="79"/>
    <s v="Société générale"/>
    <d v="2007-10-01T00:00:00"/>
    <d v="2010-09-01T00:00:00"/>
    <n v="20"/>
    <s v="Courbes"/>
    <s v="Struct"/>
    <x v="9"/>
    <n v="1"/>
    <m/>
    <m/>
    <m/>
    <m/>
    <m/>
    <n v="1862986"/>
    <m/>
    <n v="62226.720000000001"/>
    <n v="69903.76999999999"/>
    <m/>
    <n v="0"/>
    <n v="132130.49"/>
    <n v="0"/>
    <m/>
    <n v="0"/>
  </r>
  <r>
    <x v="80"/>
    <s v="Dexia CL"/>
    <d v="2007-09-25T00:00:00"/>
    <d v="2010-01-01T00:00:00"/>
    <n v="25.42"/>
    <s v="Barrière avec multiplicateur"/>
    <s v="Struct"/>
    <x v="9"/>
    <n v="1"/>
    <m/>
    <m/>
    <m/>
    <m/>
    <n v="8721943.1600000001"/>
    <n v="10244420"/>
    <m/>
    <n v="297712.62"/>
    <n v="477522.91"/>
    <m/>
    <n v="0"/>
    <n v="775235.53"/>
    <n v="0"/>
    <m/>
    <n v="0"/>
  </r>
  <r>
    <x v="81"/>
    <s v="Dexia CL"/>
    <d v="2008-04-01T00:00:00"/>
    <d v="2008-12-01T00:00:00"/>
    <n v="26.42"/>
    <s v="Change"/>
    <s v="Struct"/>
    <x v="9"/>
    <n v="1"/>
    <m/>
    <m/>
    <m/>
    <m/>
    <m/>
    <m/>
    <m/>
    <m/>
    <m/>
    <m/>
    <m/>
    <m/>
    <s v=""/>
    <m/>
    <n v="0"/>
  </r>
  <r>
    <x v="82"/>
    <s v="Caisse d'Épargne"/>
    <d v="2007-12-31T00:00:00"/>
    <d v="2013-02-25T00:00:00"/>
    <n v="20"/>
    <s v="Courbes"/>
    <s v="Struct"/>
    <x v="9"/>
    <n v="1"/>
    <m/>
    <m/>
    <m/>
    <m/>
    <n v="5000000"/>
    <n v="4823195"/>
    <n v="2.2321000000000001E-2"/>
    <n v="111833.33"/>
    <n v="176805.38"/>
    <m/>
    <n v="0"/>
    <n v="288638.71000000002"/>
    <n v="0"/>
    <m/>
    <n v="0"/>
  </r>
  <r>
    <x v="92"/>
    <s v="Dexia CL"/>
    <d v="2009-12-01T00:00:00"/>
    <d v="2012-05-01T00:00:00"/>
    <n v="20.83"/>
    <s v="Change"/>
    <s v="Struct"/>
    <x v="9"/>
    <n v="1"/>
    <m/>
    <m/>
    <m/>
    <m/>
    <n v="15538681"/>
    <n v="15538681"/>
    <n v="2.7394000000000002E-2"/>
    <n v="2479.61"/>
    <n v="0"/>
    <m/>
    <n v="284357.86"/>
    <n v="2479.61"/>
    <n v="0"/>
    <m/>
    <n v="0"/>
  </r>
  <r>
    <x v="86"/>
    <s v="Dexia CL"/>
    <d v="2009-12-29T00:00:00"/>
    <d v="2010-05-01T00:00:00"/>
    <n v="20.83"/>
    <s v="Courbes"/>
    <s v="Struct"/>
    <x v="9"/>
    <n v="1"/>
    <m/>
    <m/>
    <m/>
    <m/>
    <n v="15538681"/>
    <n v="15538681"/>
    <n v="2.7394000000000002E-2"/>
    <n v="2479.61"/>
    <n v="0"/>
    <m/>
    <n v="284357.86"/>
    <n v="2479.61"/>
    <n v="0"/>
    <m/>
    <n v="0"/>
  </r>
  <r>
    <x v="87"/>
    <s v="Dexia CL"/>
    <d v="2008-08-08T00:00:00"/>
    <d v="2011-11-01T00:00:00"/>
    <n v="25.33"/>
    <s v="Change"/>
    <s v="Struct"/>
    <x v="9"/>
    <n v="1"/>
    <m/>
    <m/>
    <m/>
    <m/>
    <n v="11085434.300000001"/>
    <n v="10242617"/>
    <n v="1.9175999999999999E-2"/>
    <n v="212424.63"/>
    <n v="842817.7"/>
    <m/>
    <n v="32264.240000000002"/>
    <n v="1055242.33"/>
    <n v="0"/>
    <m/>
    <n v="0"/>
  </r>
  <r>
    <x v="88"/>
    <s v="Dexia CL"/>
    <d v="2008-08-08T00:00:00"/>
    <d v="2012-11-01T00:00:00"/>
    <n v="25.33"/>
    <s v="Change"/>
    <s v="Struct"/>
    <x v="9"/>
    <n v="1"/>
    <m/>
    <m/>
    <m/>
    <m/>
    <n v="11085434.220000001"/>
    <n v="10468589"/>
    <n v="1.9074000000000001E-2"/>
    <n v="211300.69"/>
    <n v="616845.09"/>
    <m/>
    <n v="32801.58"/>
    <n v="828145.78"/>
    <n v="0"/>
    <m/>
    <n v="0"/>
  </r>
  <r>
    <x v="89"/>
    <s v="Dexia CL"/>
    <d v="2012-11-01T00:00:00"/>
    <d v="2017-11-01T00:00:00"/>
    <n v="25"/>
    <s v="Change"/>
    <s v="Struct"/>
    <x v="9"/>
    <n v="0"/>
    <m/>
    <m/>
    <m/>
    <m/>
    <m/>
    <m/>
    <m/>
    <m/>
    <m/>
    <m/>
    <m/>
    <m/>
    <s v=""/>
    <m/>
    <n v="0"/>
  </r>
  <r>
    <x v="90"/>
    <s v="Dexia CL"/>
    <d v="2008-12-01T00:00:00"/>
    <d v="2010-12-01T00:00:00"/>
    <n v="17"/>
    <s v="Change"/>
    <s v="Struct"/>
    <x v="9"/>
    <n v="1"/>
    <m/>
    <m/>
    <m/>
    <m/>
    <n v="11246513"/>
    <n v="10811289"/>
    <n v="5.1922999999999997E-2"/>
    <n v="340941.17"/>
    <n v="435224"/>
    <m/>
    <n v="26938.13"/>
    <n v="776165.16999999993"/>
    <n v="0"/>
    <m/>
    <n v="0"/>
  </r>
  <r>
    <x v="91"/>
    <s v="Dexia CL"/>
    <d v="2008-12-01T00:00:00"/>
    <d v="2012-12-01T00:00:00"/>
    <n v="25"/>
    <s v="Pente"/>
    <s v="Struct"/>
    <x v="9"/>
    <n v="1"/>
    <m/>
    <m/>
    <m/>
    <m/>
    <n v="9000000"/>
    <n v="8463547"/>
    <n v="2.1814E-2"/>
    <n v="198187.5"/>
    <n v="536453.43999999994"/>
    <m/>
    <n v="15163.85"/>
    <n v="734640.94"/>
    <n v="0"/>
    <m/>
    <n v="0"/>
  </r>
  <r>
    <x v="93"/>
    <s v="Dexia CL"/>
    <d v="2009-03-27T00:00:00"/>
    <d v="2029-04-01T00:00:00"/>
    <n v="20"/>
    <s v="Fixe"/>
    <s v="Non_st"/>
    <x v="9"/>
    <n v="1"/>
    <m/>
    <m/>
    <m/>
    <m/>
    <n v="6000000"/>
    <n v="5905988"/>
    <n v="4.5453E-2"/>
    <n v="139838.16"/>
    <n v="94011.79"/>
    <m/>
    <n v="66882.03"/>
    <n v="233849.95"/>
    <n v="0"/>
    <m/>
    <n v="0"/>
  </r>
  <r>
    <x v="94"/>
    <s v="Société générale"/>
    <d v="2009-04-01T00:00:00"/>
    <d v="2010-10-01T00:00:00"/>
    <n v="18"/>
    <s v="Change"/>
    <s v="Struct"/>
    <x v="9"/>
    <n v="1"/>
    <m/>
    <m/>
    <m/>
    <m/>
    <n v="4000000"/>
    <n v="3869020.1999999993"/>
    <m/>
    <n v="136983.74500000005"/>
    <n v="130842.48999999999"/>
    <m/>
    <m/>
    <n v="267826.23500000004"/>
    <n v="0"/>
    <m/>
    <n v="0"/>
  </r>
  <r>
    <x v="95"/>
    <s v="Dexia CL"/>
    <d v="2009-10-01T00:00:00"/>
    <d v="2010-10-01T00:00:00"/>
    <n v="16"/>
    <s v="Change"/>
    <s v="Struct"/>
    <x v="9"/>
    <n v="1"/>
    <m/>
    <m/>
    <m/>
    <m/>
    <n v="10811289"/>
    <n v="10811289"/>
    <m/>
    <n v="0"/>
    <n v="0"/>
    <m/>
    <n v="0"/>
    <n v="0"/>
    <n v="0"/>
    <m/>
    <n v="0"/>
  </r>
  <r>
    <x v="98"/>
    <s v="Dexia CL"/>
    <d v="2009-11-01T00:00:00"/>
    <d v="2017-11-01T00:00:00"/>
    <n v="23"/>
    <s v="Pente"/>
    <s v="Struct"/>
    <x v="9"/>
    <n v="1"/>
    <m/>
    <m/>
    <m/>
    <m/>
    <n v="12886346.74"/>
    <n v="12886347"/>
    <m/>
    <n v="0"/>
    <n v="0"/>
    <m/>
    <n v="0"/>
    <n v="0"/>
    <n v="0"/>
    <m/>
    <n v="0"/>
  </r>
  <r>
    <x v="96"/>
    <s v="Dexia CL"/>
    <d v="2009-11-16T00:00:00"/>
    <d v="2011-12-01T00:00:00"/>
    <n v="25"/>
    <s v="Variable"/>
    <s v="Non_st"/>
    <x v="9"/>
    <n v="1"/>
    <m/>
    <m/>
    <m/>
    <m/>
    <m/>
    <n v="3000000"/>
    <n v="1.3291000000000001E-2"/>
    <m/>
    <m/>
    <n v="1431.83"/>
    <m/>
    <n v="1431.83"/>
    <n v="0"/>
    <m/>
    <n v="0"/>
  </r>
  <r>
    <x v="67"/>
    <s v="Caisse d'Épargne"/>
    <d v="2006-11-29T00:00:00"/>
    <d v="2009-11-25T00:00:00"/>
    <n v="20"/>
    <s v="Pente"/>
    <s v="Struct"/>
    <x v="9"/>
    <n v="1"/>
    <m/>
    <m/>
    <d v="2007-11-25T00:00:00"/>
    <d v="2007-11-25T00:00:00"/>
    <n v="5000000"/>
    <n v="0"/>
    <m/>
    <n v="157531.70000000001"/>
    <n v="189309.4"/>
    <m/>
    <n v="14903.19"/>
    <n v="346841.1"/>
    <n v="0"/>
    <m/>
    <n v="4449000"/>
  </r>
  <r>
    <x v="99"/>
    <s v="Caisse d'Épargne"/>
    <d v="2009-11-25T00:00:00"/>
    <d v="2026-11-25T00:00:00"/>
    <n v="17"/>
    <s v="Fixe"/>
    <s v="Restr_sec"/>
    <x v="9"/>
    <n v="1"/>
    <m/>
    <m/>
    <d v="2010-11-25T00:00:00"/>
    <d v="2010-11-25T00:00:00"/>
    <n v="4448712"/>
    <n v="4448712"/>
    <n v="4.7684999999999998E-2"/>
    <n v="0"/>
    <n v="0"/>
    <m/>
    <n v="0"/>
    <n v="0"/>
    <n v="0"/>
    <m/>
    <n v="0"/>
  </r>
  <r>
    <x v="97"/>
    <s v="Arkea"/>
    <d v="2009-12-21T00:00:00"/>
    <d v="2030-10-30T00:00:00"/>
    <n v="20"/>
    <s v="Variable"/>
    <s v="Non_st"/>
    <x v="9"/>
    <n v="1"/>
    <m/>
    <m/>
    <m/>
    <m/>
    <m/>
    <m/>
    <m/>
    <m/>
    <m/>
    <m/>
    <m/>
    <m/>
    <s v=""/>
    <m/>
    <n v="0"/>
  </r>
  <r>
    <x v="100"/>
    <s v="Société générale"/>
    <d v="2010-10-01T00:00:00"/>
    <d v="2014-01-01T00:00:00"/>
    <n v="25"/>
    <s v="Barrière avec multiplicateur"/>
    <s v="Struct"/>
    <x v="9"/>
    <n v="0"/>
    <m/>
    <m/>
    <m/>
    <m/>
    <m/>
    <m/>
    <m/>
    <m/>
    <m/>
    <m/>
    <m/>
    <m/>
    <s v=""/>
    <m/>
    <n v="0"/>
  </r>
  <r>
    <x v="101"/>
    <s v="Dexia CL"/>
    <d v="2010-01-01T00:00:00"/>
    <d v="2011-11-01T00:00:00"/>
    <n v="23"/>
    <s v="Barrière avec multiplicateur"/>
    <s v="Struct"/>
    <x v="9"/>
    <n v="0"/>
    <m/>
    <m/>
    <m/>
    <m/>
    <m/>
    <m/>
    <m/>
    <m/>
    <m/>
    <m/>
    <m/>
    <m/>
    <s v=""/>
    <m/>
    <n v="0"/>
  </r>
  <r>
    <x v="102"/>
    <s v="Société générale"/>
    <d v="2010-10-01T00:00:00"/>
    <d v="2014-04-01T00:00:00"/>
    <n v="25"/>
    <s v="Barrière avec multiplicateur"/>
    <s v="Struct"/>
    <x v="9"/>
    <n v="0"/>
    <m/>
    <m/>
    <m/>
    <m/>
    <m/>
    <m/>
    <m/>
    <m/>
    <m/>
    <m/>
    <m/>
    <m/>
    <s v=""/>
    <m/>
    <n v="0"/>
  </r>
  <r>
    <x v="103"/>
    <s v="Dexia CL"/>
    <d v="2010-05-01T00:00:00"/>
    <d v="2011-07-13T00:00:00"/>
    <n v="19"/>
    <s v="Barrière avec multiplicateur"/>
    <s v="Struct"/>
    <x v="9"/>
    <n v="0"/>
    <m/>
    <m/>
    <m/>
    <m/>
    <m/>
    <m/>
    <m/>
    <m/>
    <m/>
    <m/>
    <m/>
    <m/>
    <s v=""/>
    <m/>
    <n v="0"/>
  </r>
  <r>
    <x v="104"/>
    <s v="Dexia CL"/>
    <d v="2010-10-01T00:00:00"/>
    <d v="2011-05-01T00:00:00"/>
    <n v="12"/>
    <s v="Change"/>
    <s v="Struct"/>
    <x v="9"/>
    <n v="0"/>
    <m/>
    <m/>
    <m/>
    <m/>
    <m/>
    <m/>
    <m/>
    <m/>
    <m/>
    <m/>
    <m/>
    <m/>
    <s v=""/>
    <m/>
    <n v="0"/>
  </r>
  <r>
    <x v="105"/>
    <s v="Dexia CL"/>
    <d v="2010-07-25T00:00:00"/>
    <d v="2025-09-01T00:00:00"/>
    <n v="15"/>
    <s v="Fixe"/>
    <s v="Non_st"/>
    <x v="9"/>
    <n v="0"/>
    <m/>
    <m/>
    <m/>
    <m/>
    <m/>
    <m/>
    <m/>
    <m/>
    <m/>
    <m/>
    <m/>
    <m/>
    <s v=""/>
    <m/>
    <n v="0"/>
  </r>
  <r>
    <x v="106"/>
    <s v="Société générale"/>
    <d v="2010-09-01T00:00:00"/>
    <d v="2030-12-01T00:00:00"/>
    <n v="20"/>
    <s v="Fixe"/>
    <s v="Restr_sec"/>
    <x v="9"/>
    <n v="0"/>
    <m/>
    <m/>
    <m/>
    <m/>
    <m/>
    <m/>
    <m/>
    <m/>
    <m/>
    <m/>
    <m/>
    <m/>
    <s v=""/>
    <m/>
    <n v="0"/>
  </r>
  <r>
    <x v="107"/>
    <s v="Dexia CL"/>
    <d v="2010-10-01T00:00:00"/>
    <d v="2012-05-01T00:00:00"/>
    <n v="15"/>
    <s v="Change"/>
    <s v="Struct"/>
    <x v="9"/>
    <n v="0"/>
    <m/>
    <m/>
    <m/>
    <m/>
    <m/>
    <m/>
    <m/>
    <m/>
    <m/>
    <m/>
    <m/>
    <m/>
    <s v=""/>
    <m/>
    <n v="0"/>
  </r>
  <r>
    <x v="108"/>
    <s v="Dexia CL"/>
    <d v="2010-12-01T00:00:00"/>
    <d v="2011-12-01T00:00:00"/>
    <n v="17"/>
    <s v="Change"/>
    <s v="Struct"/>
    <x v="9"/>
    <n v="0"/>
    <m/>
    <m/>
    <m/>
    <m/>
    <m/>
    <m/>
    <m/>
    <m/>
    <m/>
    <m/>
    <m/>
    <m/>
    <s v=""/>
    <m/>
    <n v="0"/>
  </r>
  <r>
    <x v="109"/>
    <s v="Société générale"/>
    <d v="2010-12-01T00:00:00"/>
    <d v="2030-12-01T00:00:00"/>
    <n v="20"/>
    <s v="Fixe"/>
    <s v="Restr_sec"/>
    <x v="9"/>
    <n v="0"/>
    <m/>
    <m/>
    <m/>
    <m/>
    <m/>
    <m/>
    <m/>
    <m/>
    <m/>
    <m/>
    <m/>
    <m/>
    <s v=""/>
    <m/>
    <n v="0"/>
  </r>
  <r>
    <x v="83"/>
    <s v="Société générale"/>
    <d v="2010-12-18T00:00:00"/>
    <d v="2026-03-31T00:00:00"/>
    <n v="15"/>
    <s v="Variable"/>
    <s v="Non_st"/>
    <x v="9"/>
    <n v="0"/>
    <m/>
    <m/>
    <m/>
    <m/>
    <m/>
    <m/>
    <m/>
    <m/>
    <m/>
    <m/>
    <m/>
    <m/>
    <s v=""/>
    <m/>
    <n v="0"/>
  </r>
  <r>
    <x v="13"/>
    <s v="Crédit Mutuel"/>
    <d v="1999-12-01T00:00:00"/>
    <d v="2014-11-30T00:00:00"/>
    <n v="15"/>
    <s v="Fixe à phase"/>
    <s v="Non_st"/>
    <x v="10"/>
    <n v="1"/>
    <m/>
    <s v="A"/>
    <d v="2000-11-30T00:00:00"/>
    <d v="2000-11-30T00:00:00"/>
    <n v="1524490.17"/>
    <n v="572581"/>
    <n v="3.5249999999999997E-2"/>
    <n v="24807.279999999999"/>
    <n v="131171.19"/>
    <m/>
    <n v="2106.92"/>
    <n v="155978.47"/>
    <n v="0"/>
    <m/>
    <n v="0"/>
  </r>
  <r>
    <x v="12"/>
    <s v="Crédit Mutuel"/>
    <d v="2001-02-28T00:00:00"/>
    <d v="2016-02-29T00:00:00"/>
    <n v="15"/>
    <s v="Fixe"/>
    <s v="Non_st"/>
    <x v="10"/>
    <n v="1"/>
    <m/>
    <m/>
    <d v="2002-02-28T00:00:00"/>
    <d v="2004-02-28T00:00:00"/>
    <m/>
    <n v="281444"/>
    <n v="3.5333000000000003E-2"/>
    <n v="11600.67"/>
    <n v="46907.39"/>
    <m/>
    <n v="9725.49"/>
    <n v="58508.06"/>
    <n v="0"/>
    <m/>
    <n v="0"/>
  </r>
  <r>
    <x v="14"/>
    <s v="CDC"/>
    <d v="2001-04-25T00:00:00"/>
    <d v="2004-04-25T00:00:00"/>
    <n v="3"/>
    <s v="Fixe"/>
    <s v="Non_st"/>
    <x v="10"/>
    <n v="1"/>
    <m/>
    <m/>
    <m/>
    <m/>
    <m/>
    <m/>
    <m/>
    <m/>
    <m/>
    <m/>
    <m/>
    <m/>
    <s v=""/>
    <m/>
    <n v="0"/>
  </r>
  <r>
    <x v="17"/>
    <s v="CDC"/>
    <d v="2002-01-25T00:00:00"/>
    <d v="2009-01-25T00:00:00"/>
    <n v="7"/>
    <s v="Fixe"/>
    <s v="Non_st"/>
    <x v="10"/>
    <n v="1"/>
    <m/>
    <m/>
    <m/>
    <m/>
    <m/>
    <m/>
    <m/>
    <m/>
    <m/>
    <m/>
    <m/>
    <m/>
    <s v=""/>
    <m/>
    <n v="0"/>
  </r>
  <r>
    <x v="18"/>
    <s v="CDC"/>
    <d v="2002-02-01T00:00:00"/>
    <d v="2022-02-01T00:00:00"/>
    <n v="20"/>
    <s v="Livret A"/>
    <s v="Livr_A"/>
    <x v="10"/>
    <n v="1"/>
    <m/>
    <m/>
    <d v="2003-02-01T00:00:00"/>
    <d v="2003-02-01T00:00:00"/>
    <n v="2137796"/>
    <n v="1419246"/>
    <n v="1.2500000000000001E-2"/>
    <n v="37990.35"/>
    <n v="100367.87"/>
    <m/>
    <n v="34659.69"/>
    <n v="138358.22"/>
    <n v="0"/>
    <m/>
    <n v="0"/>
  </r>
  <r>
    <x v="19"/>
    <s v="CDC"/>
    <d v="2002-04-01T00:00:00"/>
    <d v="2022-04-01T00:00:00"/>
    <n v="20"/>
    <s v="Livret A"/>
    <s v="Livr_A"/>
    <x v="10"/>
    <n v="1"/>
    <m/>
    <m/>
    <m/>
    <m/>
    <m/>
    <m/>
    <m/>
    <m/>
    <m/>
    <m/>
    <m/>
    <m/>
    <s v=""/>
    <m/>
    <n v="0"/>
  </r>
  <r>
    <x v="20"/>
    <s v="Crédit Agricole"/>
    <d v="2002-04-15T00:00:00"/>
    <d v="2017-04-18T00:00:00"/>
    <n v="15"/>
    <s v="Barrière hors zone EUR"/>
    <s v="Struct"/>
    <x v="10"/>
    <n v="1"/>
    <m/>
    <m/>
    <d v="2003-04-15T00:00:00"/>
    <d v="2003-04-15T00:00:00"/>
    <m/>
    <n v="6953201"/>
    <n v="6.1999999999999998E-3"/>
    <n v="150581.42000000001"/>
    <n v="863570.72"/>
    <m/>
    <n v="50244.47"/>
    <n v="1014152.14"/>
    <n v="0"/>
    <m/>
    <n v="0"/>
  </r>
  <r>
    <x v="28"/>
    <s v="CDC"/>
    <d v="2002-12-31T00:00:00"/>
    <d v="2023-01-01T00:00:00"/>
    <n v="20"/>
    <s v="Livret A"/>
    <s v="Livr_A"/>
    <x v="10"/>
    <n v="1"/>
    <m/>
    <m/>
    <m/>
    <m/>
    <m/>
    <m/>
    <m/>
    <m/>
    <m/>
    <m/>
    <m/>
    <m/>
    <s v=""/>
    <m/>
    <n v="0"/>
  </r>
  <r>
    <x v="35"/>
    <s v="Caisse d'Épargne"/>
    <d v="2003-07-01T00:00:00"/>
    <d v="2006-02-25T00:00:00"/>
    <n v="20"/>
    <s v="Barrière hors zone EUR"/>
    <s v="Struct"/>
    <x v="10"/>
    <n v="1"/>
    <m/>
    <m/>
    <m/>
    <m/>
    <m/>
    <m/>
    <m/>
    <m/>
    <m/>
    <m/>
    <m/>
    <m/>
    <s v=""/>
    <m/>
    <n v="0"/>
  </r>
  <r>
    <x v="37"/>
    <s v="Caisse d'Épargne"/>
    <d v="2003-09-01T00:00:00"/>
    <d v="2006-09-01T00:00:00"/>
    <n v="3"/>
    <s v="Fixe"/>
    <s v="Non_st"/>
    <x v="10"/>
    <n v="1"/>
    <m/>
    <m/>
    <m/>
    <m/>
    <m/>
    <m/>
    <m/>
    <m/>
    <m/>
    <m/>
    <m/>
    <m/>
    <s v=""/>
    <m/>
    <n v="0"/>
  </r>
  <r>
    <x v="38"/>
    <s v="Caisse d'Épargne"/>
    <d v="2004-02-05T00:00:00"/>
    <d v="2011-06-25T00:00:00"/>
    <n v="7"/>
    <s v="Fixe"/>
    <s v="Non_st"/>
    <x v="10"/>
    <n v="1"/>
    <m/>
    <m/>
    <m/>
    <m/>
    <m/>
    <n v="599592"/>
    <n v="3.7999999999999999E-2"/>
    <n v="44734.89"/>
    <n v="577641.80000000005"/>
    <m/>
    <n v="23164.09"/>
    <n v="622376.69000000006"/>
    <n v="0"/>
    <m/>
    <n v="0"/>
  </r>
  <r>
    <x v="49"/>
    <s v="Crédit Mutuel"/>
    <d v="2005-03-24T00:00:00"/>
    <d v="2010-03-23T00:00:00"/>
    <n v="5"/>
    <s v="Fixe"/>
    <s v="Non_st"/>
    <x v="10"/>
    <n v="1"/>
    <m/>
    <m/>
    <m/>
    <m/>
    <n v="1808556.04"/>
    <n v="0"/>
    <n v="2.9700000000000001E-2"/>
    <n v="11380.67"/>
    <n v="383187.62"/>
    <m/>
    <n v="9541.0499999999993"/>
    <n v="394568.29"/>
    <n v="0"/>
    <m/>
    <n v="0"/>
  </r>
  <r>
    <x v="52"/>
    <s v="CDC"/>
    <d v="2005-05-01T00:00:00"/>
    <d v="2011-04-30T00:00:00"/>
    <n v="6"/>
    <s v="Variable"/>
    <s v="Non_st"/>
    <x v="10"/>
    <n v="1"/>
    <m/>
    <m/>
    <m/>
    <m/>
    <m/>
    <m/>
    <m/>
    <m/>
    <m/>
    <m/>
    <m/>
    <m/>
    <s v=""/>
    <m/>
    <n v="0"/>
  </r>
  <r>
    <x v="53"/>
    <s v="CDC"/>
    <d v="2005-05-01T00:00:00"/>
    <d v="2013-04-29T00:00:00"/>
    <n v="8"/>
    <s v="Variable"/>
    <s v="Non_st"/>
    <x v="10"/>
    <n v="1"/>
    <m/>
    <m/>
    <m/>
    <m/>
    <m/>
    <n v="1360714"/>
    <n v="1.4062E-2"/>
    <n v="34145.86"/>
    <n v="432582.79"/>
    <m/>
    <n v="22826.27"/>
    <n v="466728.64999999997"/>
    <n v="0"/>
    <m/>
    <n v="0"/>
  </r>
  <r>
    <x v="59"/>
    <s v="Dexia CL"/>
    <d v="2006-03-01T00:00:00"/>
    <d v="2010-10-01T00:00:00"/>
    <n v="16.25"/>
    <s v="Change"/>
    <s v="Struct"/>
    <x v="10"/>
    <n v="1"/>
    <m/>
    <m/>
    <m/>
    <m/>
    <m/>
    <n v="0"/>
    <m/>
    <n v="277581.90000000002"/>
    <n v="509496"/>
    <m/>
    <n v="132806.07"/>
    <n v="919883.97"/>
    <n v="132806.06999999995"/>
    <m/>
    <n v="7231000"/>
  </r>
  <r>
    <x v="60"/>
    <s v="Crédit Agricole"/>
    <d v="2006-03-06T00:00:00"/>
    <d v="2021-03-02T00:00:00"/>
    <n v="15"/>
    <s v="Barrière"/>
    <s v="Struct"/>
    <x v="10"/>
    <n v="1"/>
    <m/>
    <m/>
    <m/>
    <m/>
    <m/>
    <m/>
    <m/>
    <m/>
    <m/>
    <m/>
    <m/>
    <m/>
    <s v=""/>
    <m/>
    <n v="0"/>
  </r>
  <r>
    <x v="61"/>
    <s v="Crédit Agricole"/>
    <d v="2006-03-06T00:00:00"/>
    <d v="2021-03-06T00:00:00"/>
    <n v="15"/>
    <s v="Fixe"/>
    <s v="Non_st"/>
    <x v="10"/>
    <n v="1"/>
    <m/>
    <m/>
    <m/>
    <m/>
    <m/>
    <n v="3915502"/>
    <n v="3.6200000000000003E-2"/>
    <n v="152085.44"/>
    <n v="285753.06"/>
    <m/>
    <n v="120167.41"/>
    <n v="437838.5"/>
    <n v="0"/>
    <m/>
    <n v="0"/>
  </r>
  <r>
    <x v="63"/>
    <s v="Dexia CL"/>
    <d v="2006-07-01T00:00:00"/>
    <d v="2011-07-13T00:00:00"/>
    <n v="20"/>
    <s v="Change"/>
    <s v="Struct"/>
    <x v="10"/>
    <n v="1"/>
    <m/>
    <m/>
    <m/>
    <m/>
    <m/>
    <n v="14683506"/>
    <n v="7.4171000000000001E-2"/>
    <n v="610178.67000000004"/>
    <n v="591114.71"/>
    <m/>
    <n v="190465.61"/>
    <n v="1201293.3799999999"/>
    <n v="0"/>
    <m/>
    <n v="0"/>
  </r>
  <r>
    <x v="65"/>
    <s v="Dexia CL"/>
    <d v="2006-10-01T00:00:00"/>
    <d v="2009-10-01T00:00:00"/>
    <n v="19"/>
    <s v="Change"/>
    <s v="Struct"/>
    <x v="10"/>
    <n v="1"/>
    <m/>
    <m/>
    <m/>
    <m/>
    <m/>
    <m/>
    <m/>
    <m/>
    <m/>
    <m/>
    <m/>
    <m/>
    <s v=""/>
    <m/>
    <n v="0"/>
  </r>
  <r>
    <x v="70"/>
    <s v="Société générale"/>
    <d v="2007-10-01T00:00:00"/>
    <d v="2010-12-01T00:00:00"/>
    <n v="20"/>
    <s v="Barrière avec multiplicateur"/>
    <s v="Struct"/>
    <x v="10"/>
    <n v="1"/>
    <m/>
    <m/>
    <m/>
    <m/>
    <m/>
    <n v="0"/>
    <m/>
    <n v="97204.4"/>
    <n v="113324.7"/>
    <m/>
    <n v="7989.4"/>
    <n v="218518.49999999997"/>
    <n v="7989.3999999999942"/>
    <m/>
    <n v="2572000"/>
  </r>
  <r>
    <x v="71"/>
    <s v="Société générale"/>
    <d v="2007-10-01T00:00:00"/>
    <d v="2010-10-01T00:00:00"/>
    <n v="20.079999999999998"/>
    <s v="Écart d'inflation"/>
    <s v="Struct"/>
    <x v="10"/>
    <n v="1"/>
    <m/>
    <m/>
    <m/>
    <m/>
    <m/>
    <n v="0"/>
    <m/>
    <n v="155831.04999999999"/>
    <n v="181610.1"/>
    <m/>
    <n v="135384.5"/>
    <n v="472825.65"/>
    <n v="135384.5"/>
    <m/>
    <n v="4476000"/>
  </r>
  <r>
    <x v="73"/>
    <s v="Crédit Agricole"/>
    <d v="2007-04-10T00:00:00"/>
    <d v="2028-03-01T00:00:00"/>
    <n v="20"/>
    <s v="Pente"/>
    <s v="Struct"/>
    <x v="10"/>
    <n v="1"/>
    <m/>
    <m/>
    <m/>
    <m/>
    <n v="5000000"/>
    <n v="4538520"/>
    <n v="5.5183000000000003E-2"/>
    <n v="220315.94"/>
    <n v="174122.79"/>
    <m/>
    <n v="16297.89"/>
    <n v="394438.73"/>
    <n v="0"/>
    <m/>
    <n v="0"/>
  </r>
  <r>
    <x v="85"/>
    <s v="Dexia CL"/>
    <d v="2008-04-01T00:00:00"/>
    <d v="2009-11-01T00:00:00"/>
    <n v="25.67"/>
    <s v="Pente"/>
    <s v="Struct"/>
    <x v="10"/>
    <n v="1"/>
    <m/>
    <m/>
    <m/>
    <m/>
    <m/>
    <m/>
    <m/>
    <m/>
    <m/>
    <m/>
    <m/>
    <m/>
    <s v=""/>
    <m/>
    <n v="0"/>
  </r>
  <r>
    <x v="74"/>
    <s v="Dexia CL"/>
    <d v="2007-05-01T00:00:00"/>
    <d v="2009-12-29T00:00:00"/>
    <n v="17"/>
    <s v="Courbes"/>
    <s v="Struct"/>
    <x v="10"/>
    <n v="1"/>
    <m/>
    <m/>
    <m/>
    <m/>
    <m/>
    <m/>
    <m/>
    <m/>
    <m/>
    <m/>
    <m/>
    <m/>
    <s v=""/>
    <m/>
    <n v="0"/>
  </r>
  <r>
    <x v="75"/>
    <s v="Dexia CL"/>
    <d v="2007-05-01T00:00:00"/>
    <d v="2009-12-29T00:00:00"/>
    <n v="16.920000000000002"/>
    <s v="Écart d'inflation"/>
    <s v="Struct"/>
    <x v="10"/>
    <n v="1"/>
    <m/>
    <m/>
    <m/>
    <m/>
    <m/>
    <m/>
    <m/>
    <m/>
    <m/>
    <m/>
    <m/>
    <m/>
    <s v=""/>
    <m/>
    <n v="0"/>
  </r>
  <r>
    <x v="76"/>
    <s v="Société générale"/>
    <d v="2007-05-24T00:00:00"/>
    <d v="2009-04-01T00:00:00"/>
    <n v="19"/>
    <s v="Change"/>
    <s v="Struct"/>
    <x v="10"/>
    <n v="1"/>
    <m/>
    <m/>
    <m/>
    <m/>
    <m/>
    <m/>
    <m/>
    <m/>
    <m/>
    <m/>
    <m/>
    <m/>
    <s v=""/>
    <m/>
    <n v="0"/>
  </r>
  <r>
    <x v="77"/>
    <s v="Caisse d'Épargne"/>
    <d v="2007-07-25T00:00:00"/>
    <d v="2012-02-25T00:00:00"/>
    <n v="18.579999999999998"/>
    <s v="Courbes"/>
    <s v="Struct"/>
    <x v="10"/>
    <n v="1"/>
    <m/>
    <m/>
    <m/>
    <m/>
    <m/>
    <n v="12864744"/>
    <n v="2.2321000000000001E-2"/>
    <n v="303238.65999999997"/>
    <n v="730024.06"/>
    <m/>
    <n v="256714.54"/>
    <n v="1033262.72"/>
    <n v="0"/>
    <m/>
    <n v="0"/>
  </r>
  <r>
    <x v="78"/>
    <s v="Dexia CL"/>
    <d v="2007-08-30T00:00:00"/>
    <d v="2011-04-01T00:00:00"/>
    <n v="25"/>
    <s v="Courbes"/>
    <s v="Struct"/>
    <x v="10"/>
    <n v="1"/>
    <m/>
    <m/>
    <m/>
    <m/>
    <m/>
    <n v="13371419"/>
    <n v="3.3480999999999997E-2"/>
    <n v="301982.44"/>
    <n v="481868.82"/>
    <m/>
    <n v="226693.67"/>
    <n v="783851.26"/>
    <n v="0"/>
    <m/>
    <n v="0"/>
  </r>
  <r>
    <x v="79"/>
    <s v="Société générale"/>
    <d v="2007-10-01T00:00:00"/>
    <d v="2010-09-01T00:00:00"/>
    <n v="20"/>
    <s v="Courbes"/>
    <s v="Struct"/>
    <x v="10"/>
    <n v="1"/>
    <m/>
    <m/>
    <m/>
    <m/>
    <n v="2000000"/>
    <n v="0"/>
    <m/>
    <n v="68943.44"/>
    <n v="72644.039999999994"/>
    <m/>
    <n v="22855.22"/>
    <n v="164442.69999999998"/>
    <n v="22855.22"/>
    <m/>
    <n v="1790000"/>
  </r>
  <r>
    <x v="80"/>
    <s v="Dexia CL"/>
    <d v="2007-09-25T00:00:00"/>
    <d v="2010-01-01T00:00:00"/>
    <n v="25.42"/>
    <s v="Barrière avec multiplicateur"/>
    <s v="Struct"/>
    <x v="10"/>
    <n v="1"/>
    <m/>
    <m/>
    <m/>
    <m/>
    <m/>
    <n v="0"/>
    <m/>
    <n v="290827.71000000002"/>
    <n v="444745.83"/>
    <m/>
    <n v="290030.92"/>
    <n v="1025604.46"/>
    <n v="290030.91999999993"/>
    <m/>
    <n v="9800000"/>
  </r>
  <r>
    <x v="82"/>
    <s v="Caisse d'Épargne"/>
    <d v="2007-12-31T00:00:00"/>
    <d v="2013-02-25T00:00:00"/>
    <n v="20"/>
    <s v="Courbes"/>
    <s v="Struct"/>
    <x v="10"/>
    <n v="1"/>
    <m/>
    <m/>
    <m/>
    <m/>
    <m/>
    <n v="4640201"/>
    <n v="2.2321000000000001E-2"/>
    <n v="107584.04"/>
    <n v="182993.57"/>
    <m/>
    <n v="91078"/>
    <n v="290577.61"/>
    <n v="0"/>
    <m/>
    <n v="0"/>
  </r>
  <r>
    <x v="92"/>
    <s v="Dexia CL"/>
    <d v="2009-12-01T00:00:00"/>
    <d v="2012-05-01T00:00:00"/>
    <n v="20.83"/>
    <s v="Change"/>
    <s v="Struct"/>
    <x v="10"/>
    <n v="1"/>
    <m/>
    <m/>
    <m/>
    <m/>
    <m/>
    <n v="15028637"/>
    <n v="2.7394000000000002E-2"/>
    <n v="425371.39"/>
    <n v="510043.41"/>
    <m/>
    <n v="264357.86"/>
    <n v="935414.8"/>
    <n v="0"/>
    <m/>
    <n v="0"/>
  </r>
  <r>
    <x v="86"/>
    <s v="Dexia CL"/>
    <d v="2009-12-29T00:00:00"/>
    <d v="2010-05-01T00:00:00"/>
    <n v="20.83"/>
    <s v="Courbes"/>
    <s v="Struct"/>
    <x v="10"/>
    <n v="1"/>
    <m/>
    <m/>
    <m/>
    <m/>
    <m/>
    <n v="0"/>
    <m/>
    <n v="425371.39"/>
    <n v="510043.41"/>
    <m/>
    <n v="264357.86"/>
    <n v="1199772.6600000001"/>
    <n v="264357.8600000001"/>
    <m/>
    <n v="15029000"/>
  </r>
  <r>
    <x v="87"/>
    <s v="Dexia CL"/>
    <d v="2008-08-08T00:00:00"/>
    <d v="2011-11-01T00:00:00"/>
    <n v="25.33"/>
    <s v="Change"/>
    <s v="Struct"/>
    <x v="10"/>
    <n v="1"/>
    <m/>
    <m/>
    <m/>
    <m/>
    <m/>
    <n v="9432320"/>
    <n v="0.10662099999999999"/>
    <n v="196274.14"/>
    <n v="810296.26"/>
    <m/>
    <n v="32264.240000000002"/>
    <n v="1006570.4"/>
    <n v="0"/>
    <m/>
    <n v="0"/>
  </r>
  <r>
    <x v="88"/>
    <s v="Dexia CL"/>
    <d v="2008-08-08T00:00:00"/>
    <d v="2012-11-01T00:00:00"/>
    <n v="25.33"/>
    <s v="Change"/>
    <s v="Struct"/>
    <x v="10"/>
    <n v="1"/>
    <m/>
    <m/>
    <m/>
    <m/>
    <m/>
    <n v="9871624"/>
    <n v="9.0287000000000006E-2"/>
    <n v="199542.94"/>
    <n v="596965.14"/>
    <m/>
    <n v="32801.58"/>
    <n v="796508.08000000007"/>
    <n v="0"/>
    <m/>
    <n v="0"/>
  </r>
  <r>
    <x v="90"/>
    <s v="Dexia CL"/>
    <d v="2008-12-01T00:00:00"/>
    <d v="2010-12-01T00:00:00"/>
    <n v="17"/>
    <s v="Change"/>
    <s v="Struct"/>
    <x v="10"/>
    <n v="1"/>
    <m/>
    <m/>
    <m/>
    <m/>
    <n v="11246513"/>
    <n v="0"/>
    <m/>
    <n v="327747.23"/>
    <n v="456986"/>
    <m/>
    <n v="26938.13"/>
    <n v="811671.36"/>
    <n v="26938.130000000005"/>
    <m/>
    <n v="10354000"/>
  </r>
  <r>
    <x v="91"/>
    <s v="Dexia CL"/>
    <d v="2008-12-01T00:00:00"/>
    <d v="2012-12-01T00:00:00"/>
    <n v="25"/>
    <s v="Pente"/>
    <s v="Struct"/>
    <x v="10"/>
    <n v="1"/>
    <m/>
    <m/>
    <m/>
    <m/>
    <m/>
    <n v="7924906"/>
    <n v="2.1814E-2"/>
    <n v="184493.56"/>
    <n v="538640.65"/>
    <m/>
    <n v="15163.85"/>
    <n v="723134.21"/>
    <n v="0"/>
    <m/>
    <n v="0"/>
  </r>
  <r>
    <x v="93"/>
    <s v="Dexia CL"/>
    <d v="2009-03-27T00:00:00"/>
    <d v="2029-04-01T00:00:00"/>
    <n v="20"/>
    <s v="Fixe"/>
    <s v="Non_st"/>
    <x v="10"/>
    <n v="1"/>
    <m/>
    <m/>
    <m/>
    <m/>
    <m/>
    <n v="5711564"/>
    <m/>
    <n v="265445.80173044151"/>
    <n v="203282"/>
    <m/>
    <n v="66361.450432610378"/>
    <n v="468727.80173044151"/>
    <n v="0"/>
    <m/>
    <n v="0"/>
  </r>
  <r>
    <x v="94"/>
    <s v="Société générale"/>
    <d v="2009-04-01T00:00:00"/>
    <d v="2010-10-01T00:00:00"/>
    <n v="18"/>
    <s v="Change"/>
    <s v="Struct"/>
    <x v="10"/>
    <n v="1"/>
    <m/>
    <m/>
    <m/>
    <m/>
    <n v="3869019.96"/>
    <n v="0"/>
    <m/>
    <n v="123566.82"/>
    <n v="137529.04"/>
    <m/>
    <n v="92759.75"/>
    <n v="353855.61"/>
    <n v="92759.749999999971"/>
    <m/>
    <n v="3731000"/>
  </r>
  <r>
    <x v="95"/>
    <s v="Dexia CL"/>
    <d v="2009-10-01T00:00:00"/>
    <d v="2010-10-01T00:00:00"/>
    <n v="16"/>
    <s v="Change"/>
    <s v="Struct"/>
    <x v="10"/>
    <n v="1"/>
    <m/>
    <m/>
    <m/>
    <m/>
    <n v="10811289"/>
    <n v="0"/>
    <m/>
    <n v="363920"/>
    <n v="456986"/>
    <m/>
    <n v="90730.74"/>
    <n v="911636.74"/>
    <n v="90730.739999999991"/>
    <m/>
    <n v="10354000"/>
  </r>
  <r>
    <x v="98"/>
    <s v="Dexia CL"/>
    <d v="2009-11-01T00:00:00"/>
    <d v="2017-11-01T00:00:00"/>
    <n v="23"/>
    <s v="Pente"/>
    <s v="Struct"/>
    <x v="10"/>
    <n v="1"/>
    <m/>
    <m/>
    <m/>
    <m/>
    <n v="12886346.74"/>
    <n v="12500993"/>
    <n v="3.7945E-2"/>
    <n v="521306.42"/>
    <n v="385354.01"/>
    <m/>
    <n v="85694.21"/>
    <n v="906660.42999999993"/>
    <n v="0"/>
    <m/>
    <n v="0"/>
  </r>
  <r>
    <x v="96"/>
    <s v="Dexia CL"/>
    <d v="2009-11-16T00:00:00"/>
    <d v="2011-12-01T00:00:00"/>
    <n v="25"/>
    <s v="Variable"/>
    <s v="Non_st"/>
    <x v="10"/>
    <n v="1"/>
    <m/>
    <m/>
    <m/>
    <m/>
    <m/>
    <n v="5000000"/>
    <n v="1.4701000000000001E-2"/>
    <n v="36461.17"/>
    <n v="0"/>
    <m/>
    <n v="1385.86"/>
    <n v="36461.17"/>
    <n v="0"/>
    <m/>
    <n v="0"/>
  </r>
  <r>
    <x v="67"/>
    <s v="Caisse d'Épargne"/>
    <d v="2006-11-29T00:00:00"/>
    <d v="2009-11-25T00:00:00"/>
    <n v="20"/>
    <s v="Pente"/>
    <s v="Struct"/>
    <x v="10"/>
    <n v="1"/>
    <m/>
    <m/>
    <d v="2007-11-25T00:00:00"/>
    <d v="2007-11-25T00:00:00"/>
    <n v="5000000"/>
    <n v="0"/>
    <m/>
    <m/>
    <m/>
    <m/>
    <m/>
    <n v="0"/>
    <n v="0"/>
    <m/>
    <n v="0"/>
  </r>
  <r>
    <x v="99"/>
    <s v="Caisse d'Épargne"/>
    <d v="2009-11-25T00:00:00"/>
    <d v="2026-11-25T00:00:00"/>
    <n v="17"/>
    <s v="Fixe"/>
    <s v="Restr_sec"/>
    <x v="10"/>
    <n v="1"/>
    <m/>
    <m/>
    <m/>
    <m/>
    <n v="4448712.2699999996"/>
    <n v="4252777"/>
    <n v="4.7684999999999998E-2"/>
    <n v="211993.5"/>
    <n v="202793"/>
    <m/>
    <m/>
    <n v="414786.5"/>
    <n v="0"/>
    <m/>
    <n v="0"/>
  </r>
  <r>
    <x v="97"/>
    <s v="Arkea"/>
    <d v="2009-12-21T00:00:00"/>
    <d v="2030-10-30T00:00:00"/>
    <n v="20"/>
    <s v="Variable"/>
    <s v="Non_st"/>
    <x v="10"/>
    <n v="1"/>
    <m/>
    <m/>
    <m/>
    <m/>
    <m/>
    <n v="10000000"/>
    <m/>
    <n v="0"/>
    <m/>
    <m/>
    <m/>
    <n v="0"/>
    <n v="0"/>
    <m/>
    <n v="0"/>
  </r>
  <r>
    <x v="100"/>
    <s v="Société générale"/>
    <d v="2010-10-01T00:00:00"/>
    <d v="2014-01-01T00:00:00"/>
    <n v="25"/>
    <s v="Barrière avec multiplicateur"/>
    <s v="Struct"/>
    <x v="10"/>
    <n v="1"/>
    <m/>
    <m/>
    <m/>
    <m/>
    <n v="4475856"/>
    <n v="4475856"/>
    <n v="4.0481999999999997E-2"/>
    <n v="0"/>
    <n v="0"/>
    <m/>
    <n v="0"/>
    <n v="0"/>
    <n v="0"/>
    <m/>
    <n v="0"/>
  </r>
  <r>
    <x v="101"/>
    <s v="Dexia CL"/>
    <d v="2010-01-01T00:00:00"/>
    <d v="2011-11-01T00:00:00"/>
    <n v="23"/>
    <s v="Barrière avec multiplicateur"/>
    <s v="Struct"/>
    <x v="10"/>
    <n v="1"/>
    <m/>
    <m/>
    <m/>
    <m/>
    <n v="9799674"/>
    <n v="9799674"/>
    <n v="2.2544999999999999E-2"/>
    <n v="0"/>
    <n v="0"/>
    <m/>
    <n v="0"/>
    <n v="0"/>
    <n v="0"/>
    <m/>
    <n v="0"/>
  </r>
  <r>
    <x v="102"/>
    <s v="Société générale"/>
    <d v="2010-10-01T00:00:00"/>
    <d v="2014-04-01T00:00:00"/>
    <n v="25"/>
    <s v="Barrière avec multiplicateur"/>
    <s v="Struct"/>
    <x v="10"/>
    <n v="1"/>
    <m/>
    <m/>
    <m/>
    <m/>
    <n v="3731491"/>
    <n v="3731491"/>
    <n v="4.0481999999999997E-2"/>
    <n v="0"/>
    <n v="0"/>
    <m/>
    <n v="0"/>
    <n v="0"/>
    <n v="0"/>
    <m/>
    <n v="0"/>
  </r>
  <r>
    <x v="103"/>
    <s v="Dexia CL"/>
    <d v="2010-05-01T00:00:00"/>
    <d v="2011-07-13T00:00:00"/>
    <n v="19"/>
    <s v="Barrière avec multiplicateur"/>
    <s v="Struct"/>
    <x v="10"/>
    <n v="1"/>
    <m/>
    <m/>
    <m/>
    <m/>
    <n v="15028637"/>
    <n v="15028637"/>
    <n v="2.7394000000000002E-2"/>
    <n v="0"/>
    <n v="0"/>
    <m/>
    <n v="0"/>
    <n v="0"/>
    <n v="0"/>
    <m/>
    <n v="0"/>
  </r>
  <r>
    <x v="104"/>
    <s v="Dexia CL"/>
    <d v="2010-10-01T00:00:00"/>
    <d v="2011-05-01T00:00:00"/>
    <n v="12"/>
    <s v="Change"/>
    <s v="Struct"/>
    <x v="10"/>
    <n v="1"/>
    <m/>
    <m/>
    <m/>
    <m/>
    <n v="7230654"/>
    <n v="7230654"/>
    <n v="0.105846"/>
    <n v="0"/>
    <n v="0"/>
    <m/>
    <n v="0"/>
    <n v="0"/>
    <n v="0"/>
    <m/>
    <n v="0"/>
  </r>
  <r>
    <x v="105"/>
    <s v="Dexia CL"/>
    <d v="2010-07-25T00:00:00"/>
    <d v="2025-09-01T00:00:00"/>
    <n v="15"/>
    <s v="Fixe"/>
    <s v="Non_st"/>
    <x v="10"/>
    <n v="1"/>
    <m/>
    <m/>
    <m/>
    <m/>
    <n v="750000"/>
    <n v="739366"/>
    <n v="2.1399999999999999E-2"/>
    <n v="4280"/>
    <n v="10634.02"/>
    <m/>
    <n v="0"/>
    <n v="14914.02"/>
    <n v="0"/>
    <m/>
    <n v="0"/>
  </r>
  <r>
    <x v="106"/>
    <s v="Société générale"/>
    <d v="2010-09-01T00:00:00"/>
    <d v="2030-12-01T00:00:00"/>
    <n v="20"/>
    <s v="Fixe"/>
    <s v="Restr_sec"/>
    <x v="10"/>
    <n v="1"/>
    <m/>
    <m/>
    <m/>
    <m/>
    <m/>
    <n v="1790342"/>
    <n v="4.3930999999999998E-2"/>
    <n v="19595.79"/>
    <n v="0"/>
    <m/>
    <n v="0"/>
    <n v="19595.79"/>
    <n v="0"/>
    <m/>
    <n v="0"/>
  </r>
  <r>
    <x v="107"/>
    <s v="Dexia CL"/>
    <d v="2010-10-01T00:00:00"/>
    <d v="2012-05-01T00:00:00"/>
    <n v="15"/>
    <s v="Change"/>
    <s v="Struct"/>
    <x v="10"/>
    <n v="1"/>
    <m/>
    <m/>
    <m/>
    <m/>
    <n v="10354303"/>
    <n v="10354303"/>
    <n v="3.3683999999999999E-2"/>
    <n v="0"/>
    <n v="0"/>
    <m/>
    <n v="0"/>
    <n v="0"/>
    <n v="0"/>
    <m/>
    <n v="0"/>
  </r>
  <r>
    <x v="108"/>
    <s v="Dexia CL"/>
    <d v="2010-12-01T00:00:00"/>
    <d v="2011-12-01T00:00:00"/>
    <n v="17"/>
    <s v="Change"/>
    <s v="Struct"/>
    <x v="10"/>
    <n v="1"/>
    <m/>
    <m/>
    <m/>
    <m/>
    <m/>
    <n v="10354303"/>
    <n v="0.12459199999999999"/>
    <n v="0"/>
    <n v="0"/>
    <m/>
    <n v="0"/>
    <n v="0"/>
    <n v="0"/>
    <m/>
    <n v="0"/>
  </r>
  <r>
    <x v="109"/>
    <s v="Société générale"/>
    <d v="2010-12-01T00:00:00"/>
    <d v="2030-12-01T00:00:00"/>
    <n v="20"/>
    <s v="Fixe"/>
    <s v="Restr_sec"/>
    <x v="10"/>
    <n v="1"/>
    <m/>
    <m/>
    <m/>
    <m/>
    <n v="2572189"/>
    <n v="2572189"/>
    <n v="4.3930999999999998E-2"/>
    <n v="0"/>
    <n v="0"/>
    <m/>
    <n v="0"/>
    <n v="0"/>
    <n v="0"/>
    <m/>
    <n v="0"/>
  </r>
  <r>
    <x v="83"/>
    <s v="Société générale"/>
    <d v="2010-12-18T00:00:00"/>
    <d v="2026-03-31T00:00:00"/>
    <n v="15"/>
    <s v="Variable"/>
    <s v="Non_st"/>
    <x v="10"/>
    <n v="1"/>
    <m/>
    <m/>
    <m/>
    <m/>
    <m/>
    <m/>
    <m/>
    <m/>
    <m/>
    <m/>
    <m/>
    <m/>
    <s v=""/>
    <m/>
    <n v="0"/>
  </r>
  <r>
    <x v="110"/>
    <s v="Dexia CL"/>
    <d v="2011-04-01T00:00:00"/>
    <d v="2014-05-01T00:00:00"/>
    <n v="25"/>
    <s v="Barrière avec multiplicateur"/>
    <s v="Struct"/>
    <x v="10"/>
    <n v="0"/>
    <m/>
    <m/>
    <m/>
    <m/>
    <m/>
    <m/>
    <m/>
    <m/>
    <m/>
    <m/>
    <m/>
    <m/>
    <s v=""/>
    <m/>
    <n v="0"/>
  </r>
  <r>
    <x v="111"/>
    <s v="Dexia CL"/>
    <d v="2011-07-01T00:00:00"/>
    <d v="2036-05-01T00:00:00"/>
    <n v="25"/>
    <s v="Barrière avec multiplicateur"/>
    <s v="Struct"/>
    <x v="10"/>
    <n v="0"/>
    <m/>
    <m/>
    <m/>
    <m/>
    <m/>
    <m/>
    <m/>
    <m/>
    <m/>
    <m/>
    <m/>
    <m/>
    <s v=""/>
    <m/>
    <n v="0"/>
  </r>
  <r>
    <x v="84"/>
    <s v="Dexia CL"/>
    <d v="2011-07-13T00:00:00"/>
    <d v="2016-10-01T00:00:00"/>
    <n v="15"/>
    <s v="Change"/>
    <s v="Struct"/>
    <x v="10"/>
    <n v="0"/>
    <m/>
    <m/>
    <m/>
    <m/>
    <m/>
    <m/>
    <m/>
    <m/>
    <m/>
    <m/>
    <m/>
    <m/>
    <s v=""/>
    <m/>
    <n v="0"/>
  </r>
  <r>
    <x v="112"/>
    <s v="Caisse d'Épargne"/>
    <d v="2011-07-08T00:00:00"/>
    <d v="2027-05-29T00:00:00"/>
    <n v="15"/>
    <s v="Variable"/>
    <s v="Non_st"/>
    <x v="10"/>
    <n v="0"/>
    <m/>
    <m/>
    <m/>
    <m/>
    <m/>
    <m/>
    <m/>
    <m/>
    <m/>
    <m/>
    <m/>
    <m/>
    <s v=""/>
    <m/>
    <n v="0"/>
  </r>
  <r>
    <x v="113"/>
    <s v="Caisse d'Épargne"/>
    <d v="2011-07-08T00:00:00"/>
    <d v="2027-05-29T00:00:00"/>
    <n v="15"/>
    <s v="Variable"/>
    <s v="Non_st"/>
    <x v="10"/>
    <n v="0"/>
    <m/>
    <m/>
    <m/>
    <m/>
    <m/>
    <m/>
    <m/>
    <m/>
    <m/>
    <m/>
    <m/>
    <m/>
    <s v=""/>
    <m/>
    <n v="0"/>
  </r>
  <r>
    <x v="114"/>
    <s v="Dexia CL"/>
    <d v="2011-11-01T00:00:00"/>
    <d v="2018-01-01T00:00:00"/>
    <n v="21.17"/>
    <s v="Barrière avec multiplicateur"/>
    <s v="Struct"/>
    <x v="10"/>
    <n v="0"/>
    <m/>
    <m/>
    <m/>
    <m/>
    <m/>
    <m/>
    <m/>
    <m/>
    <m/>
    <m/>
    <m/>
    <m/>
    <s v=""/>
    <m/>
    <n v="0"/>
  </r>
  <r>
    <x v="115"/>
    <s v="Dexia CL"/>
    <d v="2011-11-01T00:00:00"/>
    <d v="2014-01-15T00:00:00"/>
    <n v="22"/>
    <s v="Change"/>
    <s v="Struct"/>
    <x v="10"/>
    <n v="0"/>
    <m/>
    <m/>
    <m/>
    <m/>
    <m/>
    <m/>
    <m/>
    <m/>
    <m/>
    <m/>
    <m/>
    <m/>
    <s v=""/>
    <m/>
    <n v="0"/>
  </r>
  <r>
    <x v="116"/>
    <s v="Dexia CL"/>
    <d v="2011-12-01T00:00:00"/>
    <d v="2012-12-01T00:00:00"/>
    <n v="18"/>
    <s v="Change"/>
    <s v="Struct"/>
    <x v="10"/>
    <n v="0"/>
    <m/>
    <m/>
    <m/>
    <m/>
    <m/>
    <m/>
    <m/>
    <m/>
    <m/>
    <m/>
    <m/>
    <m/>
    <s v=""/>
    <m/>
    <n v="0"/>
  </r>
  <r>
    <x v="117"/>
    <s v="Dexia CL"/>
    <d v="2011-12-01T00:00:00"/>
    <d v="2035-12-01T00:00:00"/>
    <n v="24"/>
    <s v="Variable"/>
    <s v="Non_st"/>
    <x v="10"/>
    <n v="0"/>
    <m/>
    <m/>
    <m/>
    <m/>
    <m/>
    <m/>
    <m/>
    <m/>
    <m/>
    <m/>
    <m/>
    <m/>
    <s v=""/>
    <m/>
    <n v="0"/>
  </r>
  <r>
    <x v="118"/>
    <s v="Caisse d'Épargne"/>
    <d v="2012-01-05T00:00:00"/>
    <d v="2032-01-05T00:00:00"/>
    <n v="20"/>
    <s v="Barrière"/>
    <s v="Struct"/>
    <x v="10"/>
    <n v="0"/>
    <m/>
    <m/>
    <m/>
    <m/>
    <m/>
    <m/>
    <m/>
    <m/>
    <m/>
    <m/>
    <m/>
    <m/>
    <s v=""/>
    <m/>
    <n v="0"/>
  </r>
  <r>
    <x v="119"/>
    <s v="CDC"/>
    <d v="2012-03-23T00:00:00"/>
    <d v="2027-10-01T00:00:00"/>
    <n v="15.25"/>
    <s v="Variable"/>
    <s v="Non_st"/>
    <x v="10"/>
    <n v="0"/>
    <m/>
    <m/>
    <m/>
    <m/>
    <m/>
    <m/>
    <m/>
    <m/>
    <m/>
    <m/>
    <m/>
    <m/>
    <s v=""/>
    <m/>
    <n v="0"/>
  </r>
  <r>
    <x v="13"/>
    <s v="Crédit Mutuel"/>
    <d v="1999-12-01T00:00:00"/>
    <d v="2014-11-30T00:00:00"/>
    <n v="15"/>
    <s v="Fixe à phase"/>
    <s v="Non_st"/>
    <x v="11"/>
    <n v="1"/>
    <m/>
    <s v="A"/>
    <d v="2000-11-30T00:00:00"/>
    <d v="2000-11-30T00:00:00"/>
    <n v="1524490.17"/>
    <n v="436786"/>
    <n v="2.52E-2"/>
    <n v="19782.189999999999"/>
    <n v="135794.97"/>
    <m/>
    <n v="932"/>
    <n v="155577.16"/>
    <n v="0"/>
    <m/>
    <n v="0"/>
  </r>
  <r>
    <x v="12"/>
    <s v="Crédit Mutuel"/>
    <d v="2001-02-28T00:00:00"/>
    <d v="2016-02-29T00:00:00"/>
    <n v="15"/>
    <s v="Fixe"/>
    <s v="Non_st"/>
    <x v="11"/>
    <n v="1"/>
    <m/>
    <m/>
    <d v="2002-02-28T00:00:00"/>
    <d v="2004-02-28T00:00:00"/>
    <m/>
    <n v="234537"/>
    <n v="2.8029999999999999E-2"/>
    <n v="9943.43"/>
    <n v="46907.3"/>
    <m/>
    <n v="5496.35"/>
    <n v="56850.73"/>
    <n v="0"/>
    <m/>
    <n v="0"/>
  </r>
  <r>
    <x v="18"/>
    <s v="CDC"/>
    <d v="2002-02-01T00:00:00"/>
    <d v="2022-02-01T00:00:00"/>
    <n v="20"/>
    <s v="Livret A"/>
    <s v="Livr_A"/>
    <x v="11"/>
    <n v="1"/>
    <m/>
    <m/>
    <d v="2003-02-01T00:00:00"/>
    <d v="2003-02-01T00:00:00"/>
    <n v="2137796"/>
    <n v="1308888"/>
    <n v="0.02"/>
    <n v="17740.57"/>
    <n v="110358.16"/>
    <m/>
    <n v="23882.720000000001"/>
    <n v="128098.73000000001"/>
    <n v="0"/>
    <m/>
    <n v="0"/>
  </r>
  <r>
    <x v="19"/>
    <s v="CDC"/>
    <d v="2002-04-01T00:00:00"/>
    <d v="2022-04-01T00:00:00"/>
    <n v="20"/>
    <s v="Livret A"/>
    <s v="Livr_A"/>
    <x v="11"/>
    <n v="1"/>
    <m/>
    <m/>
    <m/>
    <m/>
    <m/>
    <m/>
    <m/>
    <m/>
    <m/>
    <m/>
    <m/>
    <m/>
    <s v=""/>
    <m/>
    <n v="0"/>
  </r>
  <r>
    <x v="20"/>
    <s v="Crédit Agricole"/>
    <d v="2002-04-15T00:00:00"/>
    <d v="2017-04-18T00:00:00"/>
    <n v="15"/>
    <s v="Barrière hors zone EUR"/>
    <s v="Struct"/>
    <x v="11"/>
    <n v="1"/>
    <m/>
    <m/>
    <d v="2003-04-15T00:00:00"/>
    <d v="2003-04-15T00:00:00"/>
    <m/>
    <n v="6059405"/>
    <n v="2.52E-2"/>
    <n v="43109.85"/>
    <n v="893795.7"/>
    <m/>
    <n v="43475"/>
    <n v="936905.54999999993"/>
    <n v="0"/>
    <m/>
    <n v="0"/>
  </r>
  <r>
    <x v="28"/>
    <s v="CDC"/>
    <d v="2002-12-31T00:00:00"/>
    <d v="2023-01-01T00:00:00"/>
    <n v="20"/>
    <s v="Livret A"/>
    <s v="Livr_A"/>
    <x v="11"/>
    <n v="1"/>
    <m/>
    <m/>
    <m/>
    <m/>
    <m/>
    <m/>
    <m/>
    <m/>
    <m/>
    <m/>
    <m/>
    <m/>
    <s v=""/>
    <m/>
    <n v="0"/>
  </r>
  <r>
    <x v="38"/>
    <s v="Caisse d'Épargne"/>
    <d v="2004-02-05T00:00:00"/>
    <d v="2011-06-25T00:00:00"/>
    <n v="7"/>
    <s v="Fixe"/>
    <s v="Non_st"/>
    <x v="11"/>
    <n v="1"/>
    <m/>
    <m/>
    <m/>
    <m/>
    <m/>
    <m/>
    <m/>
    <m/>
    <m/>
    <m/>
    <m/>
    <m/>
    <s v=""/>
    <m/>
    <n v="0"/>
  </r>
  <r>
    <x v="49"/>
    <s v="Crédit Mutuel"/>
    <d v="2005-03-24T00:00:00"/>
    <d v="2010-03-23T00:00:00"/>
    <n v="5"/>
    <s v="Fixe"/>
    <s v="Non_st"/>
    <x v="11"/>
    <n v="1"/>
    <m/>
    <m/>
    <m/>
    <m/>
    <m/>
    <m/>
    <m/>
    <m/>
    <m/>
    <m/>
    <m/>
    <m/>
    <s v=""/>
    <m/>
    <n v="0"/>
  </r>
  <r>
    <x v="52"/>
    <s v="CDC"/>
    <d v="2005-05-01T00:00:00"/>
    <d v="2011-04-30T00:00:00"/>
    <n v="6"/>
    <s v="Variable"/>
    <s v="Non_st"/>
    <x v="11"/>
    <n v="1"/>
    <m/>
    <m/>
    <m/>
    <m/>
    <m/>
    <m/>
    <m/>
    <m/>
    <m/>
    <m/>
    <m/>
    <m/>
    <s v=""/>
    <m/>
    <n v="0"/>
  </r>
  <r>
    <x v="53"/>
    <s v="CDC"/>
    <d v="2005-05-01T00:00:00"/>
    <d v="2013-04-29T00:00:00"/>
    <n v="8"/>
    <s v="Variable"/>
    <s v="Non_st"/>
    <x v="11"/>
    <n v="1"/>
    <m/>
    <m/>
    <m/>
    <m/>
    <m/>
    <n v="917802"/>
    <n v="2.3153E-2"/>
    <n v="19121.43"/>
    <n v="442911.9"/>
    <m/>
    <n v="14195.54"/>
    <n v="462033.33"/>
    <n v="0"/>
    <m/>
    <n v="0"/>
  </r>
  <r>
    <x v="59"/>
    <s v="Dexia CL"/>
    <d v="2006-03-01T00:00:00"/>
    <d v="2010-10-01T00:00:00"/>
    <n v="16.25"/>
    <s v="Change"/>
    <s v="Struct"/>
    <x v="11"/>
    <n v="1"/>
    <m/>
    <m/>
    <m/>
    <m/>
    <m/>
    <m/>
    <m/>
    <m/>
    <m/>
    <m/>
    <m/>
    <m/>
    <s v=""/>
    <m/>
    <n v="0"/>
  </r>
  <r>
    <x v="60"/>
    <s v="Crédit Agricole"/>
    <d v="2006-03-06T00:00:00"/>
    <d v="2021-03-02T00:00:00"/>
    <n v="15"/>
    <s v="Barrière"/>
    <s v="Struct"/>
    <x v="11"/>
    <n v="1"/>
    <m/>
    <m/>
    <m/>
    <m/>
    <m/>
    <m/>
    <m/>
    <m/>
    <m/>
    <m/>
    <m/>
    <m/>
    <s v=""/>
    <m/>
    <n v="0"/>
  </r>
  <r>
    <x v="61"/>
    <s v="Crédit Agricole"/>
    <d v="2006-03-06T00:00:00"/>
    <d v="2021-03-06T00:00:00"/>
    <n v="15"/>
    <s v="Fixe"/>
    <s v="Non_st"/>
    <x v="11"/>
    <n v="1"/>
    <m/>
    <m/>
    <m/>
    <m/>
    <m/>
    <n v="3619405"/>
    <n v="3.8199999999999998E-2"/>
    <n v="141741.18"/>
    <n v="296097.32"/>
    <m/>
    <n v="107395"/>
    <n v="437838.5"/>
    <n v="0"/>
    <m/>
    <n v="0"/>
  </r>
  <r>
    <x v="63"/>
    <s v="Dexia CL"/>
    <d v="2006-07-01T00:00:00"/>
    <d v="2011-07-13T00:00:00"/>
    <n v="20"/>
    <s v="Change"/>
    <s v="Struct"/>
    <x v="11"/>
    <n v="1"/>
    <m/>
    <m/>
    <m/>
    <m/>
    <m/>
    <m/>
    <m/>
    <m/>
    <m/>
    <m/>
    <m/>
    <m/>
    <s v=""/>
    <m/>
    <n v="14063000"/>
  </r>
  <r>
    <x v="70"/>
    <s v="Société générale"/>
    <d v="2007-10-01T00:00:00"/>
    <d v="2010-12-01T00:00:00"/>
    <n v="20"/>
    <s v="Barrière avec multiplicateur"/>
    <s v="Struct"/>
    <x v="11"/>
    <n v="1"/>
    <m/>
    <m/>
    <m/>
    <m/>
    <m/>
    <m/>
    <m/>
    <m/>
    <m/>
    <m/>
    <m/>
    <m/>
    <s v=""/>
    <m/>
    <n v="0"/>
  </r>
  <r>
    <x v="71"/>
    <s v="Société générale"/>
    <d v="2007-10-01T00:00:00"/>
    <d v="2010-10-01T00:00:00"/>
    <n v="20.079999999999998"/>
    <s v="Écart d'inflation"/>
    <s v="Struct"/>
    <x v="11"/>
    <n v="1"/>
    <m/>
    <m/>
    <m/>
    <m/>
    <m/>
    <m/>
    <m/>
    <m/>
    <m/>
    <m/>
    <m/>
    <m/>
    <s v=""/>
    <m/>
    <n v="0"/>
  </r>
  <r>
    <x v="73"/>
    <s v="Crédit Agricole"/>
    <d v="2007-04-10T00:00:00"/>
    <d v="2028-03-01T00:00:00"/>
    <n v="20"/>
    <s v="Pente"/>
    <s v="Struct"/>
    <x v="11"/>
    <n v="1"/>
    <m/>
    <m/>
    <m/>
    <m/>
    <m/>
    <n v="4356789"/>
    <n v="5.6512E-2"/>
    <n v="226745.3"/>
    <n v="181731.69"/>
    <m/>
    <n v="24272"/>
    <n v="408476.99"/>
    <n v="0"/>
    <m/>
    <n v="0"/>
  </r>
  <r>
    <x v="77"/>
    <s v="Caisse d'Épargne"/>
    <d v="2007-07-25T00:00:00"/>
    <d v="2012-02-25T00:00:00"/>
    <n v="18.579999999999998"/>
    <s v="Courbes"/>
    <s v="Struct"/>
    <x v="11"/>
    <n v="1"/>
    <m/>
    <m/>
    <m/>
    <m/>
    <m/>
    <n v="12116234"/>
    <n v="2.2321000000000001E-2"/>
    <n v="286955.26"/>
    <n v="748509.81"/>
    <m/>
    <n v="226794"/>
    <n v="1035465.0700000001"/>
    <n v="0"/>
    <m/>
    <n v="0"/>
  </r>
  <r>
    <x v="78"/>
    <s v="Dexia CL"/>
    <d v="2007-08-30T00:00:00"/>
    <d v="2011-04-01T00:00:00"/>
    <n v="25"/>
    <s v="Courbes"/>
    <s v="Struct"/>
    <x v="11"/>
    <n v="1"/>
    <m/>
    <m/>
    <m/>
    <m/>
    <n v="14311242.439999999"/>
    <n v="0"/>
    <m/>
    <n v="447385.4"/>
    <n v="507080.75"/>
    <m/>
    <n v="0"/>
    <n v="954466.15"/>
    <n v="0"/>
    <m/>
    <n v="12864000"/>
  </r>
  <r>
    <x v="79"/>
    <s v="Société générale"/>
    <d v="2007-10-01T00:00:00"/>
    <d v="2010-09-01T00:00:00"/>
    <n v="20"/>
    <s v="Courbes"/>
    <s v="Struct"/>
    <x v="11"/>
    <n v="1"/>
    <m/>
    <m/>
    <m/>
    <m/>
    <m/>
    <m/>
    <m/>
    <m/>
    <m/>
    <m/>
    <m/>
    <m/>
    <s v=""/>
    <m/>
    <n v="0"/>
  </r>
  <r>
    <x v="80"/>
    <s v="Dexia CL"/>
    <d v="2007-09-25T00:00:00"/>
    <d v="2010-01-01T00:00:00"/>
    <n v="25.42"/>
    <s v="Barrière avec multiplicateur"/>
    <s v="Struct"/>
    <x v="11"/>
    <n v="1"/>
    <m/>
    <m/>
    <m/>
    <m/>
    <m/>
    <m/>
    <m/>
    <m/>
    <m/>
    <m/>
    <m/>
    <m/>
    <s v=""/>
    <m/>
    <n v="0"/>
  </r>
  <r>
    <x v="82"/>
    <s v="Caisse d'Épargne"/>
    <d v="2007-12-31T00:00:00"/>
    <d v="2013-02-25T00:00:00"/>
    <n v="20"/>
    <s v="Courbes"/>
    <s v="Struct"/>
    <x v="11"/>
    <n v="1"/>
    <m/>
    <m/>
    <m/>
    <m/>
    <m/>
    <n v="4450803"/>
    <n v="2.2321000000000001E-2"/>
    <n v="103502.26"/>
    <n v="169396.35"/>
    <m/>
    <n v="84045"/>
    <n v="272898.61"/>
    <n v="0"/>
    <m/>
    <n v="0"/>
  </r>
  <r>
    <x v="92"/>
    <s v="Dexia CL"/>
    <d v="2009-12-01T00:00:00"/>
    <d v="2012-05-01T00:00:00"/>
    <n v="20.83"/>
    <s v="Change"/>
    <s v="Struct"/>
    <x v="11"/>
    <n v="1"/>
    <m/>
    <m/>
    <m/>
    <m/>
    <m/>
    <n v="14548322"/>
    <n v="0.16426399999999999"/>
    <n v="411406.95"/>
    <n v="480514.86"/>
    <m/>
    <n v="430630.34"/>
    <n v="891921.81"/>
    <n v="0"/>
    <m/>
    <n v="0"/>
  </r>
  <r>
    <x v="86"/>
    <s v="Dexia CL"/>
    <d v="2009-12-29T00:00:00"/>
    <d v="2010-05-01T00:00:00"/>
    <n v="20.83"/>
    <s v="Courbes"/>
    <s v="Struct"/>
    <x v="11"/>
    <n v="1"/>
    <m/>
    <m/>
    <m/>
    <m/>
    <m/>
    <m/>
    <m/>
    <m/>
    <m/>
    <m/>
    <m/>
    <m/>
    <s v=""/>
    <m/>
    <n v="0"/>
  </r>
  <r>
    <x v="87"/>
    <s v="Dexia CL"/>
    <d v="2008-08-08T00:00:00"/>
    <d v="2011-11-01T00:00:00"/>
    <n v="25.33"/>
    <s v="Change"/>
    <s v="Struct"/>
    <x v="11"/>
    <n v="1"/>
    <m/>
    <m/>
    <m/>
    <m/>
    <m/>
    <n v="0"/>
    <m/>
    <n v="477209.91"/>
    <n v="847048.42"/>
    <m/>
    <n v="0"/>
    <n v="1324258.33"/>
    <n v="0"/>
    <m/>
    <n v="8565000"/>
  </r>
  <r>
    <x v="88"/>
    <s v="Dexia CL"/>
    <d v="2008-08-08T00:00:00"/>
    <d v="2012-11-01T00:00:00"/>
    <n v="25.33"/>
    <s v="Change"/>
    <s v="Struct"/>
    <x v="11"/>
    <n v="1"/>
    <m/>
    <m/>
    <m/>
    <m/>
    <m/>
    <n v="9245515"/>
    <n v="9.6488000000000004E-2"/>
    <n v="186164.12"/>
    <n v="626105.87"/>
    <m/>
    <n v="52441.77"/>
    <n v="812269.99"/>
    <n v="0"/>
    <m/>
    <n v="0"/>
  </r>
  <r>
    <x v="89"/>
    <s v="Dexia CL"/>
    <d v="2012-11-01T00:00:00"/>
    <d v="2017-11-01T00:00:00"/>
    <n v="25"/>
    <s v="Change"/>
    <s v="Struct"/>
    <x v="11"/>
    <n v="0"/>
    <m/>
    <m/>
    <m/>
    <m/>
    <m/>
    <m/>
    <m/>
    <m/>
    <m/>
    <m/>
    <m/>
    <m/>
    <s v=""/>
    <m/>
    <n v="0"/>
  </r>
  <r>
    <x v="90"/>
    <s v="Dexia CL"/>
    <d v="2008-12-01T00:00:00"/>
    <d v="2010-12-01T00:00:00"/>
    <n v="17"/>
    <s v="Change"/>
    <s v="Struct"/>
    <x v="11"/>
    <n v="1"/>
    <m/>
    <m/>
    <m/>
    <m/>
    <m/>
    <m/>
    <m/>
    <m/>
    <m/>
    <m/>
    <m/>
    <m/>
    <s v=""/>
    <m/>
    <n v="0"/>
  </r>
  <r>
    <x v="91"/>
    <s v="Dexia CL"/>
    <d v="2008-12-01T00:00:00"/>
    <d v="2012-12-01T00:00:00"/>
    <n v="25"/>
    <s v="Pente"/>
    <s v="Struct"/>
    <x v="11"/>
    <n v="1"/>
    <m/>
    <m/>
    <m/>
    <m/>
    <m/>
    <n v="7383947"/>
    <n v="2.1614000000000001E-2"/>
    <n v="172751.94"/>
    <n v="540959.07999999996"/>
    <m/>
    <n v="13229.5"/>
    <n v="713711.02"/>
    <n v="0"/>
    <m/>
    <n v="0"/>
  </r>
  <r>
    <x v="93"/>
    <s v="Dexia CL"/>
    <d v="2009-03-27T00:00:00"/>
    <d v="2029-04-01T00:00:00"/>
    <n v="20"/>
    <s v="Fixe"/>
    <s v="Non_st"/>
    <x v="11"/>
    <n v="1"/>
    <m/>
    <m/>
    <m/>
    <m/>
    <m/>
    <n v="5508282"/>
    <n v="4.5453E-2"/>
    <n v="255998.24"/>
    <n v="203281.92000000001"/>
    <m/>
    <n v="62376.22"/>
    <n v="459280.16000000003"/>
    <n v="0"/>
    <m/>
    <n v="0"/>
  </r>
  <r>
    <x v="94"/>
    <s v="Société générale"/>
    <d v="2009-04-01T00:00:00"/>
    <d v="2010-10-01T00:00:00"/>
    <n v="18"/>
    <s v="Change"/>
    <s v="Struct"/>
    <x v="11"/>
    <n v="1"/>
    <m/>
    <m/>
    <m/>
    <m/>
    <m/>
    <m/>
    <m/>
    <m/>
    <m/>
    <m/>
    <m/>
    <m/>
    <s v=""/>
    <m/>
    <n v="0"/>
  </r>
  <r>
    <x v="95"/>
    <s v="Dexia CL"/>
    <d v="2009-10-01T00:00:00"/>
    <d v="2010-10-01T00:00:00"/>
    <n v="16"/>
    <s v="Change"/>
    <s v="Struct"/>
    <x v="11"/>
    <n v="1"/>
    <m/>
    <m/>
    <m/>
    <m/>
    <m/>
    <m/>
    <m/>
    <m/>
    <m/>
    <m/>
    <m/>
    <m/>
    <s v=""/>
    <m/>
    <n v="0"/>
  </r>
  <r>
    <x v="98"/>
    <s v="Dexia CL"/>
    <d v="2009-11-01T00:00:00"/>
    <d v="2017-11-01T00:00:00"/>
    <n v="23"/>
    <s v="Pente"/>
    <s v="Struct"/>
    <x v="11"/>
    <n v="1"/>
    <m/>
    <m/>
    <m/>
    <m/>
    <m/>
    <n v="12130288"/>
    <n v="3.7945E-2"/>
    <n v="474030.7"/>
    <n v="370704.69"/>
    <m/>
    <n v="75612.13"/>
    <n v="844735.39"/>
    <n v="0"/>
    <m/>
    <n v="0"/>
  </r>
  <r>
    <x v="96"/>
    <s v="Dexia CL"/>
    <d v="2009-11-16T00:00:00"/>
    <d v="2011-12-01T00:00:00"/>
    <n v="25"/>
    <s v="Variable"/>
    <s v="Non_st"/>
    <x v="11"/>
    <n v="1"/>
    <m/>
    <m/>
    <m/>
    <m/>
    <n v="5000000"/>
    <n v="0"/>
    <n v="1.47E-2"/>
    <n v="48856.36"/>
    <n v="174269.67"/>
    <m/>
    <m/>
    <n v="223126.03000000003"/>
    <n v="0"/>
    <m/>
    <n v="4825730"/>
  </r>
  <r>
    <x v="99"/>
    <s v="Caisse d'Épargne"/>
    <d v="2009-11-25T00:00:00"/>
    <d v="2026-11-25T00:00:00"/>
    <n v="17"/>
    <s v="Fixe"/>
    <s v="Restr_sec"/>
    <x v="11"/>
    <n v="1"/>
    <m/>
    <m/>
    <m/>
    <m/>
    <m/>
    <n v="4049984"/>
    <n v="4.7684999999999998E-2"/>
    <n v="202656.64000000001"/>
    <n v="202792.95"/>
    <m/>
    <n v="19034.93"/>
    <n v="405449.59"/>
    <n v="0"/>
    <m/>
    <n v="0"/>
  </r>
  <r>
    <x v="97"/>
    <s v="Arkea"/>
    <d v="2009-12-21T00:00:00"/>
    <d v="2030-10-30T00:00:00"/>
    <n v="20"/>
    <s v="Variable"/>
    <s v="Non_st"/>
    <x v="11"/>
    <n v="1"/>
    <m/>
    <m/>
    <m/>
    <m/>
    <m/>
    <n v="9565445"/>
    <n v="2.0500000000000001E-2"/>
    <n v="144220.16"/>
    <n v="434555.15"/>
    <m/>
    <n v="32715.86"/>
    <n v="578775.31000000006"/>
    <n v="0"/>
    <m/>
    <n v="0"/>
  </r>
  <r>
    <x v="100"/>
    <s v="Société générale"/>
    <d v="2010-10-01T00:00:00"/>
    <d v="2014-01-01T00:00:00"/>
    <n v="25"/>
    <s v="Barrière avec multiplicateur"/>
    <s v="Struct"/>
    <x v="11"/>
    <n v="1"/>
    <m/>
    <m/>
    <m/>
    <m/>
    <m/>
    <n v="4382076"/>
    <n v="4.0481999999999997E-2"/>
    <n v="181067.03"/>
    <n v="93780.19"/>
    <m/>
    <n v="176787.55"/>
    <n v="274847.21999999997"/>
    <n v="0"/>
    <m/>
    <n v="0"/>
  </r>
  <r>
    <x v="101"/>
    <s v="Dexia CL"/>
    <d v="2010-01-01T00:00:00"/>
    <d v="2011-11-01T00:00:00"/>
    <n v="23"/>
    <s v="Barrière avec multiplicateur"/>
    <s v="Struct"/>
    <x v="11"/>
    <n v="1"/>
    <m/>
    <m/>
    <m/>
    <m/>
    <n v="9799674.4199999999"/>
    <n v="0"/>
    <m/>
    <n v="536092.52"/>
    <n v="412099.97"/>
    <m/>
    <n v="0"/>
    <n v="948192.49"/>
    <n v="0"/>
    <m/>
    <n v="9366000"/>
  </r>
  <r>
    <x v="102"/>
    <s v="Société générale"/>
    <d v="2010-10-01T00:00:00"/>
    <d v="2014-04-01T00:00:00"/>
    <n v="25"/>
    <s v="Barrière avec multiplicateur"/>
    <s v="Struct"/>
    <x v="11"/>
    <n v="1"/>
    <m/>
    <m/>
    <m/>
    <m/>
    <m/>
    <n v="3653307"/>
    <n v="4.0481999999999997E-2"/>
    <n v="150954.35999999999"/>
    <n v="78183.899999999994"/>
    <m/>
    <n v="110944.85"/>
    <n v="229138.25999999998"/>
    <n v="0"/>
    <m/>
    <n v="0"/>
  </r>
  <r>
    <x v="103"/>
    <s v="Dexia CL"/>
    <d v="2010-05-01T00:00:00"/>
    <d v="2011-07-13T00:00:00"/>
    <n v="19"/>
    <s v="Barrière avec multiplicateur"/>
    <s v="Struct"/>
    <x v="11"/>
    <n v="1"/>
    <m/>
    <m/>
    <m/>
    <m/>
    <n v="15028837.359999999"/>
    <n v="0"/>
    <m/>
    <n v="505083.96"/>
    <n v="480314.86"/>
    <m/>
    <n v="0"/>
    <n v="985398.82000000007"/>
    <n v="0"/>
    <m/>
    <n v="14548000"/>
  </r>
  <r>
    <x v="104"/>
    <s v="Dexia CL"/>
    <d v="2010-10-01T00:00:00"/>
    <d v="2011-05-01T00:00:00"/>
    <n v="12"/>
    <s v="Change"/>
    <s v="Struct"/>
    <x v="11"/>
    <n v="1"/>
    <m/>
    <m/>
    <m/>
    <m/>
    <n v="7230653.3200000003"/>
    <n v="0"/>
    <n v="3.3480999999999997E-2"/>
    <n v="241925.62"/>
    <n v="504783.04"/>
    <m/>
    <n v="0"/>
    <n v="746708.65999999992"/>
    <n v="0"/>
    <m/>
    <n v="6725870.4800000004"/>
  </r>
  <r>
    <x v="105"/>
    <s v="Dexia CL"/>
    <d v="2010-07-25T00:00:00"/>
    <d v="2025-09-01T00:00:00"/>
    <n v="15"/>
    <s v="Fixe"/>
    <s v="Non_st"/>
    <x v="11"/>
    <n v="1"/>
    <m/>
    <m/>
    <m/>
    <m/>
    <m/>
    <n v="696258"/>
    <n v="2.1399999999999999E-2"/>
    <n v="15478.03"/>
    <n v="43108.05"/>
    <m/>
    <n v="1126.02"/>
    <n v="58586.080000000002"/>
    <n v="0"/>
    <m/>
    <n v="0"/>
  </r>
  <r>
    <x v="106"/>
    <s v="Société générale"/>
    <d v="2010-09-01T00:00:00"/>
    <d v="2030-12-01T00:00:00"/>
    <n v="20"/>
    <s v="Fixe"/>
    <s v="Restr_sec"/>
    <x v="11"/>
    <n v="1"/>
    <m/>
    <m/>
    <m/>
    <m/>
    <m/>
    <n v="1736198"/>
    <n v="4.3930999999999998E-2"/>
    <n v="76005.89"/>
    <n v="54144.59"/>
    <m/>
    <n v="6264.78"/>
    <n v="130150.48"/>
    <n v="0"/>
    <m/>
    <n v="0"/>
  </r>
  <r>
    <x v="107"/>
    <s v="Dexia CL"/>
    <d v="2010-10-01T00:00:00"/>
    <d v="2012-05-01T00:00:00"/>
    <n v="15"/>
    <s v="Change"/>
    <s v="Struct"/>
    <x v="11"/>
    <n v="1"/>
    <m/>
    <m/>
    <m/>
    <m/>
    <n v="10354303"/>
    <n v="9874468"/>
    <n v="3.3683999999999999E-2"/>
    <n v="348537.34"/>
    <n v="479835"/>
    <m/>
    <n v="82868.73"/>
    <n v="828372.34000000008"/>
    <n v="0"/>
    <m/>
    <n v="0"/>
  </r>
  <r>
    <x v="108"/>
    <s v="Dexia CL"/>
    <d v="2010-12-01T00:00:00"/>
    <d v="2011-12-01T00:00:00"/>
    <n v="17"/>
    <s v="Change"/>
    <s v="Struct"/>
    <x v="11"/>
    <n v="1"/>
    <m/>
    <m/>
    <m/>
    <m/>
    <m/>
    <n v="0"/>
    <m/>
    <n v="523855.83"/>
    <n v="400702.64"/>
    <m/>
    <n v="0"/>
    <n v="924558.47"/>
    <n v="0"/>
    <m/>
    <n v="9954000"/>
  </r>
  <r>
    <x v="109"/>
    <s v="Société générale"/>
    <d v="2010-12-01T00:00:00"/>
    <d v="2030-12-01T00:00:00"/>
    <n v="20"/>
    <s v="Fixe"/>
    <s v="Restr_sec"/>
    <x v="11"/>
    <n v="1"/>
    <m/>
    <m/>
    <m/>
    <m/>
    <m/>
    <n v="2494399"/>
    <n v="4.3930999999999998E-2"/>
    <n v="112922.67"/>
    <n v="77789.64"/>
    <m/>
    <n v="9000"/>
    <n v="190712.31"/>
    <n v="0"/>
    <m/>
    <n v="0"/>
  </r>
  <r>
    <x v="83"/>
    <s v="Société générale"/>
    <d v="2010-12-18T00:00:00"/>
    <d v="2026-03-31T00:00:00"/>
    <n v="15"/>
    <s v="Variable"/>
    <s v="Non_st"/>
    <x v="11"/>
    <n v="1"/>
    <m/>
    <m/>
    <m/>
    <m/>
    <m/>
    <n v="7726972"/>
    <n v="2.0271000000000001E-2"/>
    <n v="133590.94"/>
    <n v="273027.62"/>
    <m/>
    <n v="0"/>
    <n v="406618.56"/>
    <n v="0"/>
    <m/>
    <n v="0"/>
  </r>
  <r>
    <x v="120"/>
    <s v="Dexia CL"/>
    <d v="2011-05-01T00:00:00"/>
    <d v="2012-05-01T00:00:00"/>
    <n v="12.42"/>
    <s v="Change"/>
    <s v="Struct"/>
    <x v="11"/>
    <n v="1"/>
    <m/>
    <m/>
    <m/>
    <m/>
    <n v="6725870.4800000004"/>
    <n v="6725870.4800000004"/>
    <n v="0.13702600000000001"/>
    <n v="0"/>
    <n v="0"/>
    <m/>
    <n v="143652.46"/>
    <n v="0"/>
    <n v="0"/>
    <m/>
    <n v="0"/>
  </r>
  <r>
    <x v="110"/>
    <s v="Dexia CL"/>
    <d v="2011-04-01T00:00:00"/>
    <d v="2014-05-01T00:00:00"/>
    <n v="25"/>
    <s v="Barrière avec multiplicateur"/>
    <s v="Struct"/>
    <x v="11"/>
    <n v="1"/>
    <m/>
    <m/>
    <m/>
    <m/>
    <n v="12864339"/>
    <n v="12864339"/>
    <n v="1.8303E-2"/>
    <n v="0"/>
    <n v="0"/>
    <m/>
    <n v="212422.41"/>
    <n v="0"/>
    <n v="0"/>
    <m/>
    <n v="0"/>
  </r>
  <r>
    <x v="111"/>
    <s v="Dexia CL"/>
    <d v="2011-07-01T00:00:00"/>
    <d v="2036-05-01T00:00:00"/>
    <n v="25"/>
    <s v="Barrière avec multiplicateur"/>
    <s v="Struct"/>
    <x v="11"/>
    <n v="1"/>
    <m/>
    <m/>
    <m/>
    <m/>
    <n v="14548323"/>
    <n v="14548323"/>
    <n v="3.8553999999999998E-2"/>
    <n v="0"/>
    <n v="0"/>
    <m/>
    <n v="281025.09999999998"/>
    <n v="0"/>
    <n v="0"/>
    <m/>
    <n v="0"/>
  </r>
  <r>
    <x v="84"/>
    <s v="Dexia CL"/>
    <d v="2011-07-13T00:00:00"/>
    <d v="2016-10-01T00:00:00"/>
    <n v="15"/>
    <s v="Change"/>
    <s v="Struct"/>
    <x v="11"/>
    <n v="1"/>
    <m/>
    <m/>
    <m/>
    <m/>
    <n v="16517587.16"/>
    <n v="14062836"/>
    <n v="4.3119999999999999E-2"/>
    <n v="632716.35"/>
    <n v="620670.44999999995"/>
    <m/>
    <n v="303815.84000000003"/>
    <n v="1253386.7999999998"/>
    <n v="0"/>
    <m/>
    <n v="0"/>
  </r>
  <r>
    <x v="112"/>
    <s v="Caisse d'Épargne"/>
    <d v="2011-07-08T00:00:00"/>
    <d v="2027-05-29T00:00:00"/>
    <n v="15"/>
    <s v="Variable"/>
    <s v="Non_st"/>
    <x v="11"/>
    <n v="1"/>
    <m/>
    <m/>
    <m/>
    <m/>
    <m/>
    <n v="1200000"/>
    <m/>
    <n v="0"/>
    <n v="0"/>
    <m/>
    <n v="0"/>
    <n v="0"/>
    <n v="0"/>
    <m/>
    <n v="0"/>
  </r>
  <r>
    <x v="113"/>
    <s v="Caisse d'Épargne"/>
    <d v="2011-07-08T00:00:00"/>
    <d v="2027-05-29T00:00:00"/>
    <n v="15"/>
    <s v="Variable"/>
    <s v="Non_st"/>
    <x v="11"/>
    <n v="1"/>
    <m/>
    <m/>
    <m/>
    <m/>
    <m/>
    <n v="4000000"/>
    <m/>
    <n v="0"/>
    <n v="0"/>
    <m/>
    <n v="0"/>
    <n v="0"/>
    <n v="0"/>
    <m/>
    <n v="0"/>
  </r>
  <r>
    <x v="114"/>
    <s v="Dexia CL"/>
    <d v="2011-11-01T00:00:00"/>
    <d v="2018-01-01T00:00:00"/>
    <n v="21.17"/>
    <s v="Barrière avec multiplicateur"/>
    <s v="Struct"/>
    <x v="11"/>
    <n v="1"/>
    <m/>
    <m/>
    <m/>
    <m/>
    <m/>
    <n v="8387574"/>
    <n v="3.551E-2"/>
    <n v="0"/>
    <n v="0"/>
    <m/>
    <n v="170882.03"/>
    <n v="0"/>
    <n v="0"/>
    <m/>
    <n v="0"/>
  </r>
  <r>
    <x v="115"/>
    <s v="Dexia CL"/>
    <d v="2011-11-01T00:00:00"/>
    <d v="2014-01-15T00:00:00"/>
    <n v="22"/>
    <s v="Change"/>
    <s v="Struct"/>
    <x v="11"/>
    <n v="1"/>
    <m/>
    <m/>
    <m/>
    <m/>
    <m/>
    <n v="8585272"/>
    <n v="4.0481999999999997E-2"/>
    <n v="0"/>
    <n v="0"/>
    <m/>
    <n v="58156.12"/>
    <n v="0"/>
    <n v="0"/>
    <m/>
    <n v="0"/>
  </r>
  <r>
    <x v="116"/>
    <s v="Dexia CL"/>
    <d v="2011-12-01T00:00:00"/>
    <d v="2012-12-01T00:00:00"/>
    <n v="18"/>
    <s v="Change"/>
    <s v="Struct"/>
    <x v="11"/>
    <n v="1"/>
    <m/>
    <m/>
    <m/>
    <m/>
    <n v="9953600"/>
    <n v="9953600"/>
    <n v="0.13186200000000001"/>
    <n v="0"/>
    <n v="0"/>
    <m/>
    <n v="28473.82"/>
    <n v="0"/>
    <n v="0"/>
    <m/>
    <n v="0"/>
  </r>
  <r>
    <x v="117"/>
    <s v="Dexia CL"/>
    <d v="2011-12-01T00:00:00"/>
    <d v="2035-12-01T00:00:00"/>
    <n v="24"/>
    <s v="Variable"/>
    <s v="Non_st"/>
    <x v="11"/>
    <n v="1"/>
    <m/>
    <m/>
    <m/>
    <m/>
    <n v="4825730"/>
    <n v="4825730"/>
    <n v="1.9043999999999998E-2"/>
    <n v="40030.269999999997"/>
    <n v="0"/>
    <m/>
    <n v="6496.35"/>
    <n v="40030.269999999997"/>
    <n v="0"/>
    <m/>
    <n v="0"/>
  </r>
  <r>
    <x v="118"/>
    <s v="Caisse d'Épargne"/>
    <d v="2012-01-05T00:00:00"/>
    <d v="2032-01-05T00:00:00"/>
    <n v="20"/>
    <s v="Barrière"/>
    <s v="Struct"/>
    <x v="11"/>
    <n v="0"/>
    <m/>
    <m/>
    <m/>
    <m/>
    <m/>
    <m/>
    <m/>
    <m/>
    <m/>
    <m/>
    <m/>
    <m/>
    <s v=""/>
    <m/>
    <n v="0"/>
  </r>
  <r>
    <x v="121"/>
    <s v="Caisse d'Épargne"/>
    <d v="2012-02-25T00:00:00"/>
    <d v="2013-02-25T00:00:00"/>
    <n v="14"/>
    <s v="Courbes"/>
    <s v="Struct"/>
    <x v="11"/>
    <n v="0"/>
    <m/>
    <m/>
    <m/>
    <m/>
    <m/>
    <m/>
    <m/>
    <m/>
    <m/>
    <m/>
    <m/>
    <m/>
    <s v=""/>
    <m/>
    <n v="0"/>
  </r>
  <r>
    <x v="119"/>
    <s v="CDC"/>
    <d v="2012-03-23T00:00:00"/>
    <d v="2027-10-01T00:00:00"/>
    <n v="15.25"/>
    <s v="Variable"/>
    <s v="Non_st"/>
    <x v="11"/>
    <n v="0"/>
    <m/>
    <m/>
    <m/>
    <m/>
    <m/>
    <m/>
    <m/>
    <m/>
    <m/>
    <m/>
    <m/>
    <m/>
    <s v=""/>
    <m/>
    <n v="0"/>
  </r>
  <r>
    <x v="122"/>
    <s v="Dexia CL"/>
    <d v="2012-05-01T00:00:00"/>
    <d v="2031-10-01T00:00:00"/>
    <n v="19.420000000000002"/>
    <s v="Barrière avec multiplicateur"/>
    <s v="Struct"/>
    <x v="11"/>
    <n v="0"/>
    <m/>
    <m/>
    <m/>
    <m/>
    <m/>
    <m/>
    <m/>
    <m/>
    <m/>
    <m/>
    <m/>
    <m/>
    <s v=""/>
    <m/>
    <n v="0"/>
  </r>
  <r>
    <x v="123"/>
    <s v="Dexia CL"/>
    <d v="2012-05-01T00:00:00"/>
    <d v="2014-05-01T00:00:00"/>
    <n v="17"/>
    <s v="Change"/>
    <s v="Struct"/>
    <x v="11"/>
    <n v="0"/>
    <m/>
    <m/>
    <m/>
    <m/>
    <m/>
    <m/>
    <m/>
    <m/>
    <m/>
    <m/>
    <m/>
    <m/>
    <s v=""/>
    <m/>
    <n v="0"/>
  </r>
  <r>
    <x v="124"/>
    <s v="Dexia CL"/>
    <d v="2012-05-01T00:00:00"/>
    <d v="2013-06-01T00:00:00"/>
    <n v="12"/>
    <s v="Change"/>
    <s v="Struct"/>
    <x v="11"/>
    <n v="0"/>
    <m/>
    <m/>
    <m/>
    <m/>
    <m/>
    <m/>
    <m/>
    <m/>
    <m/>
    <m/>
    <m/>
    <m/>
    <s v=""/>
    <m/>
    <n v="0"/>
  </r>
  <r>
    <x v="125"/>
    <s v="Dexia CL"/>
    <d v="2012-05-01T00:00:00"/>
    <d v="2013-06-01T00:00:00"/>
    <n v="15"/>
    <s v="Variable"/>
    <s v="Non_st"/>
    <x v="11"/>
    <n v="0"/>
    <m/>
    <m/>
    <m/>
    <m/>
    <m/>
    <m/>
    <m/>
    <m/>
    <m/>
    <m/>
    <m/>
    <m/>
    <s v=""/>
    <m/>
    <n v="0"/>
  </r>
  <r>
    <x v="126"/>
    <s v="Caisse d'Épargne"/>
    <d v="2012-09-15T00:00:00"/>
    <d v="2033-07-25T00:00:00"/>
    <n v="20.8"/>
    <s v="Fixe"/>
    <s v="Non_st"/>
    <x v="11"/>
    <n v="0"/>
    <m/>
    <m/>
    <m/>
    <m/>
    <m/>
    <m/>
    <m/>
    <m/>
    <m/>
    <m/>
    <m/>
    <m/>
    <s v=""/>
    <m/>
    <n v="0"/>
  </r>
  <r>
    <x v="127"/>
    <s v="Dexia CL"/>
    <d v="2012-12-01T00:00:00"/>
    <d v="2016-11-01T00:00:00"/>
    <n v="17"/>
    <s v="Change"/>
    <s v="Struct"/>
    <x v="11"/>
    <n v="0"/>
    <m/>
    <m/>
    <m/>
    <m/>
    <m/>
    <m/>
    <m/>
    <m/>
    <m/>
    <m/>
    <m/>
    <m/>
    <s v=""/>
    <m/>
    <n v="0"/>
  </r>
  <r>
    <x v="128"/>
    <s v="Dexia CL"/>
    <d v="2012-12-01T00:00:00"/>
    <d v="2033-12-01T00:00:00"/>
    <n v="21"/>
    <s v="Fixe"/>
    <s v="Restr_sec"/>
    <x v="11"/>
    <n v="0"/>
    <m/>
    <m/>
    <m/>
    <m/>
    <m/>
    <m/>
    <m/>
    <m/>
    <m/>
    <m/>
    <m/>
    <m/>
    <s v=""/>
    <m/>
    <n v="0"/>
  </r>
  <r>
    <x v="13"/>
    <s v="Crédit Mutuel"/>
    <d v="1999-12-01T00:00:00"/>
    <d v="2014-11-30T00:00:00"/>
    <n v="15"/>
    <s v="Fixe à phase"/>
    <s v="Non_st"/>
    <x v="12"/>
    <n v="1"/>
    <m/>
    <s v="A"/>
    <d v="2000-11-30T00:00:00"/>
    <d v="2000-11-30T00:00:00"/>
    <n v="1524490.17"/>
    <n v="295284"/>
    <n v="2.8590000000000001E-2"/>
    <n v="8459.8799999999992"/>
    <n v="145556.76999999999"/>
    <m/>
    <n v="364.33"/>
    <n v="154016.65"/>
    <n v="0"/>
    <m/>
    <n v="0"/>
  </r>
  <r>
    <x v="12"/>
    <s v="Crédit Mutuel"/>
    <d v="2001-02-28T00:00:00"/>
    <d v="2016-02-29T00:00:00"/>
    <n v="15"/>
    <s v="Fixe"/>
    <s v="Non_st"/>
    <x v="12"/>
    <n v="1"/>
    <m/>
    <m/>
    <d v="2002-02-28T00:00:00"/>
    <d v="2004-02-28T00:00:00"/>
    <n v="609796.06999999995"/>
    <n v="187630"/>
    <n v="2.7949999999999999E-2"/>
    <n v="5259.26"/>
    <n v="46907.39"/>
    <m/>
    <n v="3306.85"/>
    <n v="52166.65"/>
    <n v="0"/>
    <m/>
    <n v="0"/>
  </r>
  <r>
    <x v="16"/>
    <s v="Dexia CL"/>
    <d v="2001-11-26T00:00:00"/>
    <d v="2006-03-01T00:00:00"/>
    <n v="20"/>
    <s v="Annulable"/>
    <s v="Struct"/>
    <x v="12"/>
    <n v="1"/>
    <m/>
    <m/>
    <m/>
    <m/>
    <m/>
    <m/>
    <m/>
    <m/>
    <m/>
    <m/>
    <m/>
    <m/>
    <s v=""/>
    <m/>
    <n v="0"/>
  </r>
  <r>
    <x v="18"/>
    <s v="CDC"/>
    <d v="2002-02-01T00:00:00"/>
    <d v="2022-02-01T00:00:00"/>
    <n v="20"/>
    <s v="Livret A"/>
    <s v="Livr_A"/>
    <x v="12"/>
    <n v="1"/>
    <m/>
    <m/>
    <d v="2003-02-01T00:00:00"/>
    <d v="2003-02-01T00:00:00"/>
    <n v="2137796"/>
    <n v="1201326"/>
    <n v="1.584E-2"/>
    <n v="27029.84"/>
    <n v="107859.06"/>
    <m/>
    <n v="14964.03"/>
    <n v="134888.9"/>
    <n v="0"/>
    <m/>
    <n v="0"/>
  </r>
  <r>
    <x v="19"/>
    <s v="CDC"/>
    <d v="2002-04-01T00:00:00"/>
    <d v="2022-04-01T00:00:00"/>
    <n v="20"/>
    <s v="Livret A"/>
    <s v="Livr_A"/>
    <x v="12"/>
    <n v="1"/>
    <m/>
    <m/>
    <m/>
    <m/>
    <m/>
    <m/>
    <m/>
    <m/>
    <m/>
    <m/>
    <m/>
    <m/>
    <s v=""/>
    <m/>
    <n v="0"/>
  </r>
  <r>
    <x v="20"/>
    <s v="Crédit Agricole"/>
    <d v="2002-04-15T00:00:00"/>
    <d v="2017-04-18T00:00:00"/>
    <n v="15"/>
    <s v="Barrière hors zone EUR"/>
    <s v="Struct"/>
    <x v="12"/>
    <n v="1"/>
    <m/>
    <m/>
    <d v="2003-04-15T00:00:00"/>
    <d v="2003-04-15T00:00:00"/>
    <m/>
    <n v="5134327"/>
    <n v="2.5200000000000001E-3"/>
    <n v="13266.7"/>
    <n v="957458.29"/>
    <m/>
    <n v="7438.27"/>
    <n v="970724.99"/>
    <n v="0"/>
    <m/>
    <n v="0"/>
  </r>
  <r>
    <x v="22"/>
    <s v="Dexia CL"/>
    <d v="2002-05-01T00:00:00"/>
    <d v="2005-07-01T00:00:00"/>
    <n v="19.25"/>
    <s v="Barrière hors zone EUR"/>
    <s v="Struct"/>
    <x v="12"/>
    <n v="1"/>
    <m/>
    <m/>
    <m/>
    <m/>
    <m/>
    <m/>
    <m/>
    <m/>
    <m/>
    <m/>
    <m/>
    <m/>
    <s v=""/>
    <m/>
    <n v="0"/>
  </r>
  <r>
    <x v="23"/>
    <s v="Dexia CL"/>
    <d v="2002-05-01T00:00:00"/>
    <d v="2004-04-10T00:00:00"/>
    <n v="19.25"/>
    <s v="Barrière hors zone EUR"/>
    <s v="Struct"/>
    <x v="12"/>
    <n v="1"/>
    <m/>
    <m/>
    <m/>
    <m/>
    <m/>
    <m/>
    <m/>
    <m/>
    <m/>
    <m/>
    <m/>
    <m/>
    <s v=""/>
    <m/>
    <n v="0"/>
  </r>
  <r>
    <x v="28"/>
    <s v="CDC"/>
    <d v="2002-12-31T00:00:00"/>
    <d v="2023-01-01T00:00:00"/>
    <n v="20"/>
    <s v="Livret A"/>
    <s v="Livr_A"/>
    <x v="12"/>
    <n v="1"/>
    <m/>
    <m/>
    <m/>
    <m/>
    <m/>
    <m/>
    <m/>
    <m/>
    <m/>
    <m/>
    <m/>
    <m/>
    <s v=""/>
    <m/>
    <n v="0"/>
  </r>
  <r>
    <x v="34"/>
    <s v="Dexia CL"/>
    <d v="2003-05-31T00:00:00"/>
    <d v="2005-04-01T00:00:00"/>
    <n v="20"/>
    <s v="Barrière"/>
    <s v="Struct"/>
    <x v="12"/>
    <n v="1"/>
    <m/>
    <m/>
    <m/>
    <m/>
    <m/>
    <m/>
    <m/>
    <m/>
    <m/>
    <m/>
    <m/>
    <m/>
    <s v=""/>
    <m/>
    <n v="0"/>
  </r>
  <r>
    <x v="38"/>
    <s v="Caisse d'Épargne"/>
    <d v="2004-02-05T00:00:00"/>
    <d v="2011-06-25T00:00:00"/>
    <n v="7"/>
    <s v="Fixe"/>
    <s v="Non_st"/>
    <x v="12"/>
    <n v="1"/>
    <m/>
    <m/>
    <m/>
    <m/>
    <m/>
    <m/>
    <m/>
    <m/>
    <m/>
    <m/>
    <m/>
    <m/>
    <s v=""/>
    <m/>
    <n v="0"/>
  </r>
  <r>
    <x v="52"/>
    <s v="CDC"/>
    <d v="2005-05-01T00:00:00"/>
    <d v="2011-04-30T00:00:00"/>
    <n v="6"/>
    <s v="Variable"/>
    <s v="Non_st"/>
    <x v="12"/>
    <n v="1"/>
    <m/>
    <m/>
    <m/>
    <m/>
    <m/>
    <m/>
    <m/>
    <m/>
    <m/>
    <m/>
    <m/>
    <m/>
    <s v=""/>
    <m/>
    <n v="0"/>
  </r>
  <r>
    <x v="53"/>
    <s v="CDC"/>
    <d v="2005-05-01T00:00:00"/>
    <d v="2013-04-29T00:00:00"/>
    <n v="8"/>
    <s v="Variable"/>
    <s v="Non_st"/>
    <x v="12"/>
    <n v="1"/>
    <m/>
    <m/>
    <m/>
    <m/>
    <m/>
    <n v="464315"/>
    <n v="1.477E-2"/>
    <n v="6877.86"/>
    <n v="464314.98"/>
    <m/>
    <n v="0"/>
    <n v="471192.83999999997"/>
    <n v="0"/>
    <m/>
    <n v="0"/>
  </r>
  <r>
    <x v="60"/>
    <s v="Crédit Agricole"/>
    <d v="2006-03-06T00:00:00"/>
    <d v="2021-03-02T00:00:00"/>
    <n v="15"/>
    <s v="Barrière"/>
    <s v="Struct"/>
    <x v="12"/>
    <n v="1"/>
    <m/>
    <m/>
    <m/>
    <m/>
    <m/>
    <m/>
    <m/>
    <m/>
    <m/>
    <m/>
    <m/>
    <m/>
    <s v=""/>
    <m/>
    <n v="0"/>
  </r>
  <r>
    <x v="61"/>
    <s v="Crédit Agricole"/>
    <d v="2006-03-06T00:00:00"/>
    <d v="2021-03-06T00:00:00"/>
    <n v="15"/>
    <s v="Fixe"/>
    <s v="Non_st"/>
    <x v="12"/>
    <n v="1"/>
    <m/>
    <m/>
    <m/>
    <m/>
    <m/>
    <n v="3312589"/>
    <n v="3.1820000000000001E-2"/>
    <n v="106803.39"/>
    <n v="317922.78000000003"/>
    <m/>
    <n v="89101.57"/>
    <n v="424726.17000000004"/>
    <n v="0"/>
    <m/>
    <n v="0"/>
  </r>
  <r>
    <x v="63"/>
    <s v="Dexia CL"/>
    <d v="2006-07-01T00:00:00"/>
    <d v="2011-07-13T00:00:00"/>
    <n v="20"/>
    <s v="Change"/>
    <s v="Struct"/>
    <x v="12"/>
    <n v="1"/>
    <m/>
    <m/>
    <m/>
    <m/>
    <m/>
    <m/>
    <m/>
    <m/>
    <m/>
    <m/>
    <m/>
    <m/>
    <s v=""/>
    <m/>
    <n v="0"/>
  </r>
  <r>
    <x v="73"/>
    <s v="Crédit Agricole"/>
    <d v="2007-04-10T00:00:00"/>
    <d v="2028-03-01T00:00:00"/>
    <n v="20"/>
    <s v="Pente"/>
    <s v="Struct"/>
    <x v="12"/>
    <n v="1"/>
    <m/>
    <m/>
    <m/>
    <m/>
    <m/>
    <n v="4167116"/>
    <n v="3.5389999999999998E-2"/>
    <n v="145256.76999999999"/>
    <n v="197961.45"/>
    <m/>
    <n v="11576.7"/>
    <n v="343218.22"/>
    <n v="0"/>
    <m/>
    <n v="0"/>
  </r>
  <r>
    <x v="77"/>
    <s v="Caisse d'Épargne"/>
    <d v="2007-07-25T00:00:00"/>
    <d v="2012-02-25T00:00:00"/>
    <n v="18.579999999999998"/>
    <s v="Courbes"/>
    <s v="Struct"/>
    <x v="12"/>
    <n v="1"/>
    <m/>
    <m/>
    <m/>
    <m/>
    <m/>
    <m/>
    <m/>
    <m/>
    <m/>
    <m/>
    <m/>
    <m/>
    <s v=""/>
    <m/>
    <n v="12135477.720000001"/>
  </r>
  <r>
    <x v="78"/>
    <s v="Dexia CL"/>
    <d v="2007-08-30T00:00:00"/>
    <d v="2011-04-01T00:00:00"/>
    <n v="25"/>
    <s v="Courbes"/>
    <s v="Struct"/>
    <x v="12"/>
    <n v="1"/>
    <m/>
    <m/>
    <m/>
    <m/>
    <m/>
    <m/>
    <m/>
    <m/>
    <m/>
    <m/>
    <m/>
    <m/>
    <s v=""/>
    <m/>
    <n v="0"/>
  </r>
  <r>
    <x v="82"/>
    <s v="Caisse d'Épargne"/>
    <d v="2007-12-31T00:00:00"/>
    <d v="2013-02-25T00:00:00"/>
    <n v="20"/>
    <s v="Courbes"/>
    <s v="Struct"/>
    <x v="12"/>
    <n v="1"/>
    <m/>
    <m/>
    <m/>
    <m/>
    <m/>
    <n v="4254775"/>
    <n v="9.7210000000000005E-2"/>
    <n v="99277.63"/>
    <n v="196027.29"/>
    <m/>
    <n v="382565.68"/>
    <n v="295304.92000000004"/>
    <n v="0"/>
    <m/>
    <n v="0"/>
  </r>
  <r>
    <x v="92"/>
    <s v="Dexia CL"/>
    <d v="2009-12-01T00:00:00"/>
    <d v="2012-05-01T00:00:00"/>
    <n v="20.83"/>
    <s v="Change"/>
    <s v="Struct"/>
    <x v="12"/>
    <n v="1"/>
    <m/>
    <m/>
    <m/>
    <m/>
    <m/>
    <n v="0"/>
    <m/>
    <n v="738060.65"/>
    <n v="450726.16"/>
    <m/>
    <n v="476797.37"/>
    <n v="1188786.81"/>
    <n v="0"/>
    <m/>
    <n v="14098000"/>
  </r>
  <r>
    <x v="87"/>
    <s v="Dexia CL"/>
    <d v="2008-08-08T00:00:00"/>
    <d v="2011-11-01T00:00:00"/>
    <n v="25.33"/>
    <s v="Change"/>
    <s v="Struct"/>
    <x v="12"/>
    <n v="1"/>
    <m/>
    <m/>
    <m/>
    <m/>
    <m/>
    <m/>
    <m/>
    <m/>
    <m/>
    <m/>
    <m/>
    <m/>
    <s v=""/>
    <m/>
    <n v="0"/>
  </r>
  <r>
    <x v="88"/>
    <s v="Dexia CL"/>
    <d v="2008-08-08T00:00:00"/>
    <d v="2012-11-01T00:00:00"/>
    <n v="25.33"/>
    <s v="Change"/>
    <s v="Struct"/>
    <x v="12"/>
    <n v="1"/>
    <m/>
    <m/>
    <m/>
    <m/>
    <m/>
    <n v="0"/>
    <m/>
    <n v="337445.89"/>
    <n v="452789.81"/>
    <m/>
    <n v="52609.81"/>
    <n v="790235.7"/>
    <n v="0"/>
    <m/>
    <n v="8792725.3100000005"/>
  </r>
  <r>
    <x v="89"/>
    <s v="Dexia CL"/>
    <d v="2012-11-01T00:00:00"/>
    <d v="2017-11-01T00:00:00"/>
    <n v="25"/>
    <s v="Change"/>
    <s v="Struct"/>
    <x v="12"/>
    <n v="1"/>
    <m/>
    <m/>
    <m/>
    <m/>
    <m/>
    <n v="8792725"/>
    <n v="3.909E-2"/>
    <n v="320042.99"/>
    <n v="242162.08"/>
    <m/>
    <n v="75604.039999999994"/>
    <n v="562205.06999999995"/>
    <n v="0"/>
    <m/>
    <n v="0"/>
  </r>
  <r>
    <x v="91"/>
    <s v="Dexia CL"/>
    <d v="2008-12-01T00:00:00"/>
    <d v="2012-12-01T00:00:00"/>
    <n v="25"/>
    <s v="Pente"/>
    <s v="Struct"/>
    <x v="12"/>
    <n v="1"/>
    <m/>
    <m/>
    <m/>
    <m/>
    <n v="9000000"/>
    <n v="0"/>
    <m/>
    <n v="161400.76999999999"/>
    <n v="543416.63"/>
    <m/>
    <n v="35580.19"/>
    <n v="704817.4"/>
    <n v="0"/>
    <m/>
    <n v="6841000"/>
  </r>
  <r>
    <x v="93"/>
    <s v="Dexia CL"/>
    <d v="2009-03-27T00:00:00"/>
    <d v="2029-04-01T00:00:00"/>
    <n v="20"/>
    <s v="Fixe"/>
    <s v="Non_st"/>
    <x v="12"/>
    <n v="1"/>
    <m/>
    <m/>
    <m/>
    <m/>
    <m/>
    <n v="5295739"/>
    <n v="4.53E-2"/>
    <n v="236790.58"/>
    <n v="222226.2"/>
    <m/>
    <n v="57454.71"/>
    <n v="459016.78"/>
    <n v="0"/>
    <m/>
    <n v="0"/>
  </r>
  <r>
    <x v="98"/>
    <s v="Dexia CL"/>
    <d v="2009-11-01T00:00:00"/>
    <d v="2017-11-01T00:00:00"/>
    <n v="23"/>
    <s v="Pente"/>
    <s v="Struct"/>
    <x v="12"/>
    <n v="1"/>
    <m/>
    <m/>
    <m/>
    <m/>
    <m/>
    <n v="11773938"/>
    <n v="3.7819999999999999E-2"/>
    <n v="446461.16"/>
    <n v="342308.49"/>
    <m/>
    <n v="71257.16"/>
    <n v="788769.64999999991"/>
    <n v="0"/>
    <m/>
    <n v="0"/>
  </r>
  <r>
    <x v="96"/>
    <s v="Dexia CL"/>
    <d v="2009-11-16T00:00:00"/>
    <d v="2011-12-01T00:00:00"/>
    <n v="25"/>
    <s v="Variable"/>
    <s v="Non_st"/>
    <x v="12"/>
    <n v="1"/>
    <m/>
    <m/>
    <m/>
    <m/>
    <m/>
    <m/>
    <m/>
    <m/>
    <m/>
    <m/>
    <m/>
    <m/>
    <s v=""/>
    <m/>
    <n v="0"/>
  </r>
  <r>
    <x v="99"/>
    <s v="Caisse d'Épargne"/>
    <d v="2009-11-25T00:00:00"/>
    <d v="2026-11-25T00:00:00"/>
    <n v="17"/>
    <s v="Fixe"/>
    <s v="Restr_sec"/>
    <x v="12"/>
    <n v="1"/>
    <m/>
    <m/>
    <m/>
    <m/>
    <m/>
    <n v="3840093"/>
    <n v="4.752E-2"/>
    <n v="182991.12"/>
    <n v="217236.88"/>
    <m/>
    <n v="17027.43"/>
    <n v="400228"/>
    <n v="0"/>
    <m/>
    <n v="0"/>
  </r>
  <r>
    <x v="97"/>
    <s v="Arkea"/>
    <d v="2009-12-21T00:00:00"/>
    <d v="2030-10-30T00:00:00"/>
    <n v="20"/>
    <s v="Variable"/>
    <s v="Non_st"/>
    <x v="12"/>
    <n v="1"/>
    <m/>
    <m/>
    <m/>
    <m/>
    <m/>
    <n v="9124585"/>
    <n v="7.1300000000000001E-3"/>
    <n v="61564.97"/>
    <n v="447255.9"/>
    <m/>
    <n v="11743.78"/>
    <n v="508820.87"/>
    <n v="0"/>
    <m/>
    <n v="0"/>
  </r>
  <r>
    <x v="100"/>
    <s v="Société générale"/>
    <d v="2010-10-01T00:00:00"/>
    <d v="2014-01-01T00:00:00"/>
    <n v="25"/>
    <s v="Barrière avec multiplicateur"/>
    <s v="Struct"/>
    <x v="12"/>
    <n v="1"/>
    <m/>
    <m/>
    <m/>
    <m/>
    <m/>
    <n v="4283607"/>
    <n v="4.0340000000000001E-2"/>
    <n v="173764.5"/>
    <n v="103392.66"/>
    <m/>
    <n v="168643.76"/>
    <n v="277157.16000000003"/>
    <n v="0"/>
    <m/>
    <n v="0"/>
  </r>
  <r>
    <x v="101"/>
    <s v="Dexia CL"/>
    <d v="2010-01-01T00:00:00"/>
    <d v="2011-11-01T00:00:00"/>
    <n v="23"/>
    <s v="Barrière avec multiplicateur"/>
    <s v="Struct"/>
    <x v="12"/>
    <n v="1"/>
    <m/>
    <m/>
    <m/>
    <m/>
    <m/>
    <m/>
    <m/>
    <m/>
    <m/>
    <m/>
    <m/>
    <m/>
    <s v=""/>
    <m/>
    <n v="0"/>
  </r>
  <r>
    <x v="102"/>
    <s v="Société générale"/>
    <d v="2010-10-01T00:00:00"/>
    <d v="2014-04-01T00:00:00"/>
    <n v="25"/>
    <s v="Barrière avec multiplicateur"/>
    <s v="Struct"/>
    <x v="12"/>
    <n v="1"/>
    <m/>
    <m/>
    <m/>
    <m/>
    <m/>
    <n v="3571214"/>
    <n v="4.0340000000000001E-2"/>
    <n v="144470.48000000001"/>
    <n v="86197.75"/>
    <m/>
    <n v="105834.13"/>
    <n v="230668.23"/>
    <n v="0"/>
    <m/>
    <n v="0"/>
  </r>
  <r>
    <x v="103"/>
    <s v="Dexia CL"/>
    <d v="2010-05-01T00:00:00"/>
    <d v="2011-07-13T00:00:00"/>
    <n v="19"/>
    <s v="Barrière avec multiplicateur"/>
    <s v="Struct"/>
    <x v="12"/>
    <n v="1"/>
    <m/>
    <m/>
    <m/>
    <m/>
    <m/>
    <m/>
    <m/>
    <m/>
    <m/>
    <m/>
    <m/>
    <m/>
    <s v=""/>
    <m/>
    <n v="0"/>
  </r>
  <r>
    <x v="104"/>
    <s v="Dexia CL"/>
    <d v="2010-10-01T00:00:00"/>
    <d v="2011-05-01T00:00:00"/>
    <n v="12"/>
    <s v="Change"/>
    <s v="Struct"/>
    <x v="12"/>
    <n v="1"/>
    <m/>
    <m/>
    <m/>
    <m/>
    <m/>
    <m/>
    <m/>
    <m/>
    <m/>
    <m/>
    <m/>
    <m/>
    <s v=""/>
    <m/>
    <n v="0"/>
  </r>
  <r>
    <x v="105"/>
    <s v="Dexia CL"/>
    <d v="2010-07-25T00:00:00"/>
    <d v="2025-09-01T00:00:00"/>
    <n v="15"/>
    <s v="Fixe"/>
    <s v="Non_st"/>
    <x v="12"/>
    <n v="1"/>
    <m/>
    <m/>
    <m/>
    <m/>
    <m/>
    <n v="652220"/>
    <n v="2.1340000000000001E-2"/>
    <n v="13598.09"/>
    <n v="44987.99"/>
    <m/>
    <n v="1062.9000000000001"/>
    <n v="58586.080000000002"/>
    <n v="0"/>
    <m/>
    <n v="0"/>
  </r>
  <r>
    <x v="106"/>
    <s v="Société générale"/>
    <d v="2010-09-01T00:00:00"/>
    <d v="2030-12-01T00:00:00"/>
    <n v="20"/>
    <s v="Fixe"/>
    <s v="Restr_sec"/>
    <x v="12"/>
    <n v="1"/>
    <m/>
    <m/>
    <m/>
    <m/>
    <m/>
    <n v="1679346"/>
    <n v="4.3779999999999999E-2"/>
    <n v="73072.25"/>
    <n v="59694.41"/>
    <m/>
    <n v="5844.24"/>
    <n v="132766.66"/>
    <n v="0"/>
    <m/>
    <n v="0"/>
  </r>
  <r>
    <x v="107"/>
    <s v="Dexia CL"/>
    <d v="2010-10-01T00:00:00"/>
    <d v="2012-05-01T00:00:00"/>
    <n v="15"/>
    <s v="Change"/>
    <s v="Struct"/>
    <x v="12"/>
    <n v="1"/>
    <m/>
    <m/>
    <m/>
    <m/>
    <m/>
    <n v="0"/>
    <m/>
    <n v="223283.24"/>
    <n v="0"/>
    <m/>
    <n v="90085.06"/>
    <n v="223283.24"/>
    <n v="0"/>
    <m/>
    <n v="9874000"/>
  </r>
  <r>
    <x v="108"/>
    <s v="Dexia CL"/>
    <d v="2010-12-01T00:00:00"/>
    <d v="2011-12-01T00:00:00"/>
    <n v="17"/>
    <s v="Change"/>
    <s v="Struct"/>
    <x v="12"/>
    <n v="1"/>
    <m/>
    <m/>
    <m/>
    <m/>
    <m/>
    <m/>
    <m/>
    <m/>
    <m/>
    <m/>
    <m/>
    <m/>
    <s v=""/>
    <m/>
    <n v="0"/>
  </r>
  <r>
    <x v="109"/>
    <s v="Société générale"/>
    <d v="2010-12-01T00:00:00"/>
    <d v="2030-12-01T00:00:00"/>
    <n v="20"/>
    <s v="Fixe"/>
    <s v="Restr_sec"/>
    <x v="12"/>
    <n v="1"/>
    <m/>
    <m/>
    <m/>
    <m/>
    <m/>
    <n v="2412720"/>
    <n v="4.3779999999999999E-2"/>
    <n v="105921.81"/>
    <n v="85783.08"/>
    <m/>
    <n v="8396.44"/>
    <n v="191704.89"/>
    <n v="0"/>
    <m/>
    <n v="0"/>
  </r>
  <r>
    <x v="83"/>
    <s v="Société générale"/>
    <d v="2010-12-18T00:00:00"/>
    <d v="2026-03-31T00:00:00"/>
    <n v="15"/>
    <s v="Variable"/>
    <s v="Non_st"/>
    <x v="12"/>
    <n v="1"/>
    <m/>
    <m/>
    <m/>
    <m/>
    <m/>
    <n v="7346540"/>
    <n v="1.1259999999999999E-2"/>
    <n v="80851.61"/>
    <n v="400055.48"/>
    <m/>
    <n v="0"/>
    <n v="480907.08999999997"/>
    <n v="0"/>
    <m/>
    <n v="0"/>
  </r>
  <r>
    <x v="120"/>
    <s v="Dexia CL"/>
    <d v="2011-05-01T00:00:00"/>
    <d v="2012-05-01T00:00:00"/>
    <n v="12.42"/>
    <s v="Change"/>
    <s v="Struct"/>
    <x v="12"/>
    <n v="1"/>
    <m/>
    <m/>
    <m/>
    <m/>
    <n v="6725870.4800000004"/>
    <n v="6725870.4800000004"/>
    <m/>
    <n v="324803.51"/>
    <n v="379714.16"/>
    <m/>
    <n v="178353.89"/>
    <n v="704517.66999999993"/>
    <n v="0"/>
    <m/>
    <n v="6725870.4800000004"/>
  </r>
  <r>
    <x v="110"/>
    <s v="Dexia CL"/>
    <d v="2011-04-01T00:00:00"/>
    <d v="2014-05-01T00:00:00"/>
    <n v="25"/>
    <s v="Barrière avec multiplicateur"/>
    <s v="Struct"/>
    <x v="12"/>
    <n v="1"/>
    <m/>
    <m/>
    <m/>
    <m/>
    <m/>
    <n v="12594799"/>
    <n v="1.1039999999999999E-2"/>
    <n v="121589.16"/>
    <n v="283016.48"/>
    <m/>
    <n v="106671.82"/>
    <n v="404605.64"/>
    <n v="0"/>
    <m/>
    <n v="0"/>
  </r>
  <r>
    <x v="111"/>
    <s v="Dexia CL"/>
    <d v="2011-07-01T00:00:00"/>
    <d v="2036-05-01T00:00:00"/>
    <n v="25"/>
    <s v="Barrière avec multiplicateur"/>
    <s v="Struct"/>
    <x v="12"/>
    <n v="1"/>
    <m/>
    <m/>
    <m/>
    <m/>
    <m/>
    <n v="14243499"/>
    <n v="4.0340000000000001E-2"/>
    <n v="576208.9"/>
    <n v="320064.27"/>
    <m/>
    <n v="376536.09"/>
    <n v="896273.17"/>
    <n v="0"/>
    <m/>
    <n v="0"/>
  </r>
  <r>
    <x v="84"/>
    <s v="Dexia CL"/>
    <d v="2011-07-13T00:00:00"/>
    <d v="2016-10-01T00:00:00"/>
    <n v="15"/>
    <s v="Change"/>
    <s v="Struct"/>
    <x v="12"/>
    <n v="1"/>
    <m/>
    <m/>
    <m/>
    <m/>
    <m/>
    <n v="13411132"/>
    <n v="5.228E-2"/>
    <n v="702936.72"/>
    <n v="684289.17"/>
    <m/>
    <n v="354592.33"/>
    <n v="1387225.8900000001"/>
    <n v="0"/>
    <m/>
    <n v="0"/>
  </r>
  <r>
    <x v="112"/>
    <s v="Caisse d'Épargne"/>
    <d v="2011-07-08T00:00:00"/>
    <d v="2027-05-29T00:00:00"/>
    <n v="15"/>
    <s v="Variable"/>
    <s v="Non_st"/>
    <x v="12"/>
    <n v="1"/>
    <m/>
    <m/>
    <m/>
    <m/>
    <m/>
    <n v="4886395"/>
    <n v="1.405E-2"/>
    <n v="38057.440000000002"/>
    <n v="113604.92"/>
    <m/>
    <n v="5863.21"/>
    <n v="151662.35999999999"/>
    <n v="0"/>
    <m/>
    <n v="0"/>
  </r>
  <r>
    <x v="113"/>
    <s v="Caisse d'Épargne"/>
    <d v="2011-07-08T00:00:00"/>
    <d v="2027-05-29T00:00:00"/>
    <n v="15"/>
    <s v="Variable"/>
    <s v="Non_st"/>
    <x v="12"/>
    <n v="1"/>
    <m/>
    <m/>
    <m/>
    <m/>
    <m/>
    <n v="4886395"/>
    <n v="1.106E-2"/>
    <n v="31800.65"/>
    <n v="113604.92"/>
    <m/>
    <n v="4579.3"/>
    <n v="145405.57"/>
    <n v="0"/>
    <m/>
    <n v="0"/>
  </r>
  <r>
    <x v="114"/>
    <s v="Dexia CL"/>
    <d v="2011-11-01T00:00:00"/>
    <d v="2018-01-01T00:00:00"/>
    <n v="21.17"/>
    <s v="Barrière avec multiplicateur"/>
    <s v="Struct"/>
    <x v="12"/>
    <n v="1"/>
    <m/>
    <m/>
    <m/>
    <m/>
    <m/>
    <n v="8990499"/>
    <n v="3.5389999999999998E-2"/>
    <n v="319911.93"/>
    <n v="282198.24"/>
    <m/>
    <n v="308177.09000000003"/>
    <n v="602110.16999999993"/>
    <n v="0"/>
    <m/>
    <n v="0"/>
  </r>
  <r>
    <x v="115"/>
    <s v="Dexia CL"/>
    <d v="2011-11-01T00:00:00"/>
    <d v="2014-01-15T00:00:00"/>
    <n v="22"/>
    <s v="Change"/>
    <s v="Struct"/>
    <x v="12"/>
    <n v="1"/>
    <m/>
    <m/>
    <m/>
    <m/>
    <m/>
    <n v="7990225"/>
    <n v="6.7879999999999996E-2"/>
    <n v="542827.9"/>
    <n v="621196.30000000005"/>
    <m/>
    <n v="83281.919999999998"/>
    <n v="1164024.2000000002"/>
    <n v="0"/>
    <m/>
    <n v="0"/>
  </r>
  <r>
    <x v="116"/>
    <s v="Dexia CL"/>
    <d v="2011-12-01T00:00:00"/>
    <d v="2012-12-01T00:00:00"/>
    <n v="18"/>
    <s v="Change"/>
    <s v="Struct"/>
    <x v="12"/>
    <n v="1"/>
    <m/>
    <m/>
    <m/>
    <m/>
    <n v="9953600.3599999994"/>
    <n v="0"/>
    <n v="6.1080000000000002E-2"/>
    <n v="606157.67000000004"/>
    <n v="353812.89"/>
    <m/>
    <n v="47918.94"/>
    <n v="959970.56"/>
    <n v="0"/>
    <m/>
    <n v="9600000"/>
  </r>
  <r>
    <x v="117"/>
    <s v="Dexia CL"/>
    <d v="2011-12-01T00:00:00"/>
    <d v="2035-12-01T00:00:00"/>
    <n v="24"/>
    <s v="Variable"/>
    <s v="Non_st"/>
    <x v="12"/>
    <n v="1"/>
    <m/>
    <m/>
    <m/>
    <m/>
    <m/>
    <n v="4649497"/>
    <n v="6.8500000000000002E-3"/>
    <n v="30835.599999999999"/>
    <n v="178218.86"/>
    <m/>
    <n v="2872.68"/>
    <n v="209054.46"/>
    <n v="0"/>
    <m/>
    <n v="0"/>
  </r>
  <r>
    <x v="118"/>
    <s v="Caisse d'Épargne"/>
    <d v="2012-01-05T00:00:00"/>
    <d v="2032-01-05T00:00:00"/>
    <n v="20"/>
    <s v="Barrière"/>
    <s v="Struct"/>
    <x v="12"/>
    <n v="1"/>
    <m/>
    <m/>
    <m/>
    <m/>
    <m/>
    <n v="6500000"/>
    <n v="4.904E-2"/>
    <n v="320504.17"/>
    <n v="229847"/>
    <m/>
    <n v="304102.43"/>
    <n v="550351.16999999993"/>
    <n v="0"/>
    <m/>
    <n v="0"/>
  </r>
  <r>
    <x v="121"/>
    <s v="Caisse d'Épargne"/>
    <d v="2012-02-25T00:00:00"/>
    <d v="2013-02-25T00:00:00"/>
    <n v="14"/>
    <s v="Courbes"/>
    <s v="Struct"/>
    <x v="12"/>
    <n v="1"/>
    <m/>
    <m/>
    <m/>
    <m/>
    <n v="12135477.720000001"/>
    <n v="11348820"/>
    <n v="0.10177"/>
    <n v="597666.67000000004"/>
    <n v="786657.72"/>
    <m/>
    <n v="997241.29"/>
    <n v="1384324.3900000001"/>
    <n v="0"/>
    <m/>
    <n v="0"/>
  </r>
  <r>
    <x v="119"/>
    <s v="CDC"/>
    <d v="2012-03-23T00:00:00"/>
    <d v="2027-10-01T00:00:00"/>
    <n v="15.25"/>
    <s v="Variable"/>
    <s v="Non_st"/>
    <x v="12"/>
    <n v="1"/>
    <m/>
    <m/>
    <m/>
    <m/>
    <m/>
    <n v="6145833"/>
    <n v="2.2759999999999999E-2"/>
    <n v="134857.49"/>
    <n v="418868.66"/>
    <m/>
    <n v="33639.370000000003"/>
    <n v="553726.14999999991"/>
    <n v="0"/>
    <m/>
    <n v="0"/>
  </r>
  <r>
    <x v="122"/>
    <s v="Dexia CL"/>
    <d v="2012-05-01T00:00:00"/>
    <d v="2031-10-01T00:00:00"/>
    <n v="19.420000000000002"/>
    <s v="Barrière avec multiplicateur"/>
    <s v="Struct"/>
    <x v="12"/>
    <n v="1"/>
    <m/>
    <m/>
    <m/>
    <m/>
    <m/>
    <n v="15345895"/>
    <n v="2.521E-2"/>
    <n v="379293.12"/>
    <n v="502501.49"/>
    <m/>
    <n v="99993.9"/>
    <n v="881794.61"/>
    <n v="0"/>
    <m/>
    <n v="0"/>
  </r>
  <r>
    <x v="123"/>
    <s v="Dexia CL"/>
    <d v="2012-05-01T00:00:00"/>
    <d v="2014-05-01T00:00:00"/>
    <n v="17"/>
    <s v="Change"/>
    <s v="Struct"/>
    <x v="12"/>
    <n v="1"/>
    <m/>
    <m/>
    <m/>
    <m/>
    <m/>
    <n v="14097596"/>
    <n v="0.16549"/>
    <n v="2178272.11"/>
    <n v="400000"/>
    <m/>
    <n v="1434221.95"/>
    <n v="2578272.11"/>
    <n v="0"/>
    <m/>
    <n v="0"/>
  </r>
  <r>
    <x v="124"/>
    <s v="Dexia CL"/>
    <d v="2012-05-01T00:00:00"/>
    <d v="2013-06-01T00:00:00"/>
    <n v="12"/>
    <s v="Change"/>
    <s v="Struct"/>
    <x v="12"/>
    <n v="1"/>
    <m/>
    <m/>
    <m/>
    <m/>
    <m/>
    <n v="6346156"/>
    <n v="0.12667"/>
    <n v="797998.67"/>
    <n v="398699.87"/>
    <m/>
    <n v="444181.67"/>
    <n v="1196698.54"/>
    <n v="0"/>
    <m/>
    <n v="0"/>
  </r>
  <r>
    <x v="125"/>
    <s v="Dexia CL"/>
    <d v="2012-05-01T00:00:00"/>
    <d v="2013-06-01T00:00:00"/>
    <n v="15"/>
    <s v="Variable"/>
    <s v="Non_st"/>
    <x v="12"/>
    <n v="1"/>
    <m/>
    <m/>
    <m/>
    <m/>
    <m/>
    <n v="4000000"/>
    <n v="3.7769999999999998E-2"/>
    <n v="146243.19"/>
    <n v="185369.15"/>
    <m/>
    <n v="98294.67"/>
    <n v="331612.33999999997"/>
    <n v="0"/>
    <m/>
    <n v="0"/>
  </r>
  <r>
    <x v="126"/>
    <s v="Caisse d'Épargne"/>
    <d v="2012-09-15T00:00:00"/>
    <d v="2033-07-25T00:00:00"/>
    <n v="20.8"/>
    <s v="Fixe"/>
    <s v="Non_st"/>
    <x v="12"/>
    <n v="1"/>
    <m/>
    <m/>
    <m/>
    <m/>
    <n v="20000000"/>
    <n v="19853069.52"/>
    <n v="4.5080000000000002E-2"/>
    <n v="227857.53"/>
    <n v="146930.48000000001"/>
    <m/>
    <n v="164720.64000000001"/>
    <n v="374788.01"/>
    <n v="0"/>
    <m/>
    <n v="0"/>
  </r>
  <r>
    <x v="127"/>
    <s v="Dexia CL"/>
    <d v="2012-12-01T00:00:00"/>
    <d v="2016-11-01T00:00:00"/>
    <n v="17"/>
    <s v="Change"/>
    <s v="Struct"/>
    <x v="12"/>
    <n v="1"/>
    <m/>
    <m/>
    <m/>
    <m/>
    <m/>
    <n v="9599787"/>
    <n v="6.5500000000000003E-2"/>
    <n v="583013.76"/>
    <n v="371503.53"/>
    <m/>
    <n v="93267.95"/>
    <n v="954517.29"/>
    <n v="0"/>
    <m/>
    <n v="0"/>
  </r>
  <r>
    <x v="128"/>
    <s v="Dexia CL"/>
    <d v="2012-12-01T00:00:00"/>
    <d v="2033-12-01T00:00:00"/>
    <n v="21"/>
    <s v="Fixe"/>
    <s v="Restr_sec"/>
    <x v="12"/>
    <n v="1"/>
    <m/>
    <m/>
    <m/>
    <m/>
    <m/>
    <n v="8290530"/>
    <n v="5.2069999999999998E-2"/>
    <n v="432892.34"/>
    <n v="661762.86"/>
    <m/>
    <n v="32740.13"/>
    <n v="1094655.2"/>
    <n v="0"/>
    <m/>
    <n v="0"/>
  </r>
  <r>
    <x v="129"/>
    <s v="Caisse d'Épargne"/>
    <d v="2013-02-25T00:00:00"/>
    <d v="2014-02-25T00:00:00"/>
    <n v="13"/>
    <s v="Courbes"/>
    <s v="Struct"/>
    <x v="12"/>
    <n v="0"/>
    <m/>
    <m/>
    <m/>
    <m/>
    <m/>
    <m/>
    <m/>
    <m/>
    <m/>
    <m/>
    <m/>
    <m/>
    <s v=""/>
    <m/>
    <n v="0"/>
  </r>
  <r>
    <x v="130"/>
    <s v="Caisse d'Épargne"/>
    <d v="2013-02-25T00:00:00"/>
    <d v="2033-02-25T00:00:00"/>
    <n v="20"/>
    <s v="Fixe"/>
    <s v="Restr_sec"/>
    <x v="12"/>
    <n v="0"/>
    <m/>
    <m/>
    <m/>
    <m/>
    <m/>
    <m/>
    <m/>
    <m/>
    <m/>
    <m/>
    <m/>
    <m/>
    <s v=""/>
    <m/>
    <n v="0"/>
  </r>
  <r>
    <x v="131"/>
    <s v="Dexia CL"/>
    <d v="2013-06-01T00:00:00"/>
    <d v="2033-06-01T00:00:00"/>
    <n v="20"/>
    <s v="Fixe"/>
    <s v="Restr_sec"/>
    <x v="12"/>
    <n v="0"/>
    <m/>
    <m/>
    <m/>
    <m/>
    <m/>
    <m/>
    <m/>
    <m/>
    <m/>
    <m/>
    <m/>
    <m/>
    <s v=""/>
    <m/>
    <n v="0"/>
  </r>
  <r>
    <x v="132"/>
    <s v="Caisse d'Épargne"/>
    <d v="2013-12-31T00:00:00"/>
    <d v="2033-12-31T00:00:00"/>
    <n v="20"/>
    <s v="Fixe"/>
    <s v="Non_st"/>
    <x v="12"/>
    <n v="0"/>
    <m/>
    <m/>
    <m/>
    <m/>
    <m/>
    <m/>
    <m/>
    <m/>
    <m/>
    <m/>
    <m/>
    <m/>
    <s v=""/>
    <m/>
    <n v="0"/>
  </r>
  <r>
    <x v="13"/>
    <s v="Crédit Mutuel"/>
    <d v="1999-12-01T00:00:00"/>
    <d v="2014-11-30T00:00:00"/>
    <n v="15"/>
    <s v="Fixe à phase"/>
    <s v="Non_st"/>
    <x v="13"/>
    <n v="1"/>
    <m/>
    <s v="A"/>
    <d v="2000-11-30T00:00:00"/>
    <d v="2000-11-30T00:00:00"/>
    <n v="1524490.17"/>
    <n v="149727"/>
    <n v="2.86E-2"/>
    <n v="8459.8799999999992"/>
    <n v="145556.76999999999"/>
    <m/>
    <n v="364.33"/>
    <n v="154016.65"/>
    <n v="0"/>
    <m/>
    <n v="0"/>
  </r>
  <r>
    <x v="12"/>
    <s v="Crédit Mutuel"/>
    <d v="2001-02-28T00:00:00"/>
    <d v="2016-02-29T00:00:00"/>
    <n v="15"/>
    <s v="Fixe"/>
    <s v="Non_st"/>
    <x v="13"/>
    <n v="1"/>
    <m/>
    <m/>
    <d v="2002-02-28T00:00:00"/>
    <d v="2004-02-28T00:00:00"/>
    <n v="609796.06999999995"/>
    <n v="140722"/>
    <n v="2.8000000000000001E-2"/>
    <n v="5259.26"/>
    <n v="46907.39"/>
    <m/>
    <n v="3306.85"/>
    <n v="52166.65"/>
    <n v="0"/>
    <m/>
    <n v="0"/>
  </r>
  <r>
    <x v="14"/>
    <s v="CDC"/>
    <d v="2001-04-25T00:00:00"/>
    <d v="2004-04-25T00:00:00"/>
    <n v="3"/>
    <s v="Fixe"/>
    <s v="Non_st"/>
    <x v="13"/>
    <n v="1"/>
    <m/>
    <m/>
    <m/>
    <m/>
    <m/>
    <m/>
    <m/>
    <m/>
    <m/>
    <m/>
    <m/>
    <m/>
    <s v=""/>
    <m/>
    <n v="0"/>
  </r>
  <r>
    <x v="16"/>
    <s v="Dexia CL"/>
    <d v="2001-11-26T00:00:00"/>
    <d v="2006-03-01T00:00:00"/>
    <n v="20"/>
    <s v="Annulable"/>
    <s v="Struct"/>
    <x v="13"/>
    <n v="1"/>
    <m/>
    <m/>
    <m/>
    <m/>
    <m/>
    <m/>
    <m/>
    <m/>
    <m/>
    <m/>
    <m/>
    <m/>
    <s v=""/>
    <m/>
    <n v="0"/>
  </r>
  <r>
    <x v="17"/>
    <s v="CDC"/>
    <d v="2002-01-25T00:00:00"/>
    <d v="2009-01-25T00:00:00"/>
    <n v="7"/>
    <s v="Fixe"/>
    <s v="Non_st"/>
    <x v="13"/>
    <n v="1"/>
    <m/>
    <m/>
    <m/>
    <m/>
    <m/>
    <m/>
    <m/>
    <m/>
    <m/>
    <m/>
    <m/>
    <m/>
    <s v=""/>
    <m/>
    <n v="0"/>
  </r>
  <r>
    <x v="18"/>
    <s v="CDC"/>
    <d v="2002-02-01T00:00:00"/>
    <d v="2022-02-01T00:00:00"/>
    <n v="20"/>
    <s v="Livret A"/>
    <s v="Livr_A"/>
    <x v="13"/>
    <n v="1"/>
    <m/>
    <m/>
    <d v="2003-02-01T00:00:00"/>
    <d v="2003-02-01T00:00:00"/>
    <n v="2137796"/>
    <n v="1092861"/>
    <n v="1.7899999999999999E-2"/>
    <n v="27029.84"/>
    <n v="108464.95"/>
    <m/>
    <n v="17448.349999999999"/>
    <n v="135494.79"/>
    <n v="0"/>
    <m/>
    <n v="0"/>
  </r>
  <r>
    <x v="19"/>
    <s v="CDC"/>
    <d v="2002-04-01T00:00:00"/>
    <d v="2022-04-01T00:00:00"/>
    <n v="20"/>
    <s v="Livret A"/>
    <s v="Livr_A"/>
    <x v="13"/>
    <n v="1"/>
    <m/>
    <m/>
    <m/>
    <m/>
    <m/>
    <m/>
    <m/>
    <m/>
    <m/>
    <m/>
    <m/>
    <m/>
    <s v=""/>
    <m/>
    <n v="0"/>
  </r>
  <r>
    <x v="20"/>
    <s v="Crédit Agricole"/>
    <d v="2002-04-15T00:00:00"/>
    <d v="2017-04-18T00:00:00"/>
    <n v="15"/>
    <s v="Barrière hors zone EUR"/>
    <s v="Struct"/>
    <x v="13"/>
    <n v="1"/>
    <m/>
    <m/>
    <d v="2003-04-15T00:00:00"/>
    <d v="2003-04-15T00:00:00"/>
    <m/>
    <n v="4176870"/>
    <n v="2.3E-3"/>
    <n v="13312.68"/>
    <n v="957456.29"/>
    <m/>
    <n v="6248.14"/>
    <n v="970768.97000000009"/>
    <n v="0"/>
    <m/>
    <n v="0"/>
  </r>
  <r>
    <x v="21"/>
    <s v="Dexia CL"/>
    <d v="2002-05-01T00:00:00"/>
    <d v="2004-04-10T00:00:00"/>
    <n v="17"/>
    <s v="Barrière"/>
    <s v="Struct"/>
    <x v="13"/>
    <n v="1"/>
    <m/>
    <m/>
    <m/>
    <m/>
    <m/>
    <m/>
    <m/>
    <m/>
    <m/>
    <m/>
    <m/>
    <m/>
    <s v=""/>
    <m/>
    <n v="0"/>
  </r>
  <r>
    <x v="22"/>
    <s v="Dexia CL"/>
    <d v="2002-05-01T00:00:00"/>
    <d v="2005-07-01T00:00:00"/>
    <n v="19.25"/>
    <s v="Barrière hors zone EUR"/>
    <s v="Struct"/>
    <x v="13"/>
    <n v="1"/>
    <m/>
    <m/>
    <m/>
    <m/>
    <m/>
    <m/>
    <m/>
    <m/>
    <m/>
    <m/>
    <m/>
    <m/>
    <s v=""/>
    <m/>
    <n v="0"/>
  </r>
  <r>
    <x v="23"/>
    <s v="Dexia CL"/>
    <d v="2002-05-01T00:00:00"/>
    <d v="2004-04-10T00:00:00"/>
    <n v="19.25"/>
    <s v="Barrière hors zone EUR"/>
    <s v="Struct"/>
    <x v="13"/>
    <n v="1"/>
    <m/>
    <m/>
    <m/>
    <m/>
    <m/>
    <m/>
    <m/>
    <m/>
    <m/>
    <m/>
    <m/>
    <m/>
    <s v=""/>
    <m/>
    <n v="0"/>
  </r>
  <r>
    <x v="25"/>
    <s v="Dexia CL"/>
    <d v="2002-05-01T00:00:00"/>
    <d v="2004-07-25T00:00:00"/>
    <n v="8"/>
    <s v="Variable hors zone EUR"/>
    <s v="Struct"/>
    <x v="13"/>
    <n v="1"/>
    <m/>
    <m/>
    <m/>
    <m/>
    <m/>
    <m/>
    <m/>
    <m/>
    <m/>
    <m/>
    <m/>
    <m/>
    <s v=""/>
    <m/>
    <n v="0"/>
  </r>
  <r>
    <x v="26"/>
    <s v="CDC"/>
    <d v="2002-10-01T00:00:00"/>
    <d v="2002-10-01T00:00:00"/>
    <n v="20"/>
    <s v="Livret A"/>
    <s v="Livr_A"/>
    <x v="13"/>
    <n v="1"/>
    <m/>
    <m/>
    <m/>
    <m/>
    <m/>
    <m/>
    <m/>
    <m/>
    <m/>
    <m/>
    <m/>
    <m/>
    <s v=""/>
    <m/>
    <n v="0"/>
  </r>
  <r>
    <x v="27"/>
    <s v="Dexia CL"/>
    <d v="2002-10-04T00:00:00"/>
    <d v="2004-07-25T00:00:00"/>
    <n v="20"/>
    <s v="Fixe"/>
    <s v="Non_st"/>
    <x v="13"/>
    <n v="1"/>
    <m/>
    <m/>
    <m/>
    <m/>
    <m/>
    <m/>
    <m/>
    <m/>
    <m/>
    <m/>
    <m/>
    <m/>
    <s v=""/>
    <m/>
    <n v="0"/>
  </r>
  <r>
    <x v="28"/>
    <s v="CDC"/>
    <d v="2002-12-31T00:00:00"/>
    <d v="2023-01-01T00:00:00"/>
    <n v="20"/>
    <s v="Livret A"/>
    <s v="Livr_A"/>
    <x v="13"/>
    <n v="1"/>
    <m/>
    <m/>
    <m/>
    <m/>
    <m/>
    <m/>
    <m/>
    <m/>
    <m/>
    <m/>
    <m/>
    <m/>
    <s v=""/>
    <m/>
    <n v="0"/>
  </r>
  <r>
    <x v="31"/>
    <s v="Dexia CL"/>
    <d v="2003-03-01T00:00:00"/>
    <d v="2005-04-01T00:00:00"/>
    <n v="15"/>
    <s v="Barrière"/>
    <s v="Struct"/>
    <x v="13"/>
    <n v="1"/>
    <m/>
    <m/>
    <m/>
    <m/>
    <m/>
    <m/>
    <m/>
    <m/>
    <m/>
    <m/>
    <m/>
    <m/>
    <s v=""/>
    <m/>
    <n v="0"/>
  </r>
  <r>
    <x v="32"/>
    <s v="Dexia CL"/>
    <d v="2003-05-01T00:00:00"/>
    <d v="2005-04-01T00:00:00"/>
    <n v="8"/>
    <s v="Barrière"/>
    <s v="Struct"/>
    <x v="13"/>
    <n v="1"/>
    <m/>
    <m/>
    <m/>
    <m/>
    <m/>
    <m/>
    <m/>
    <m/>
    <m/>
    <m/>
    <m/>
    <m/>
    <s v=""/>
    <m/>
    <n v="0"/>
  </r>
  <r>
    <x v="34"/>
    <s v="Dexia CL"/>
    <d v="2003-05-31T00:00:00"/>
    <d v="2005-04-01T00:00:00"/>
    <n v="20"/>
    <s v="Barrière"/>
    <s v="Struct"/>
    <x v="13"/>
    <n v="1"/>
    <m/>
    <m/>
    <m/>
    <m/>
    <m/>
    <m/>
    <m/>
    <m/>
    <m/>
    <m/>
    <m/>
    <m/>
    <s v=""/>
    <m/>
    <n v="0"/>
  </r>
  <r>
    <x v="35"/>
    <s v="Caisse d'Épargne"/>
    <d v="2003-07-01T00:00:00"/>
    <d v="2006-02-25T00:00:00"/>
    <n v="20"/>
    <s v="Barrière hors zone EUR"/>
    <s v="Struct"/>
    <x v="13"/>
    <n v="1"/>
    <m/>
    <m/>
    <m/>
    <m/>
    <m/>
    <m/>
    <m/>
    <m/>
    <m/>
    <m/>
    <m/>
    <m/>
    <s v=""/>
    <m/>
    <n v="0"/>
  </r>
  <r>
    <x v="37"/>
    <s v="Caisse d'Épargne"/>
    <d v="2003-09-01T00:00:00"/>
    <d v="2006-09-01T00:00:00"/>
    <n v="3"/>
    <s v="Fixe"/>
    <s v="Non_st"/>
    <x v="13"/>
    <n v="1"/>
    <m/>
    <m/>
    <m/>
    <m/>
    <m/>
    <m/>
    <m/>
    <m/>
    <m/>
    <m/>
    <m/>
    <m/>
    <s v=""/>
    <m/>
    <n v="0"/>
  </r>
  <r>
    <x v="38"/>
    <s v="Caisse d'Épargne"/>
    <d v="2004-02-05T00:00:00"/>
    <d v="2011-06-25T00:00:00"/>
    <n v="7"/>
    <s v="Fixe"/>
    <s v="Non_st"/>
    <x v="13"/>
    <n v="1"/>
    <m/>
    <m/>
    <m/>
    <m/>
    <m/>
    <m/>
    <m/>
    <m/>
    <m/>
    <m/>
    <m/>
    <m/>
    <s v=""/>
    <m/>
    <n v="0"/>
  </r>
  <r>
    <x v="39"/>
    <s v="Dexia CL"/>
    <d v="2004-03-31T00:00:00"/>
    <d v="2007-04-01T00:00:00"/>
    <n v="3"/>
    <s v="Fixe"/>
    <s v="Non_st"/>
    <x v="13"/>
    <n v="1"/>
    <m/>
    <m/>
    <m/>
    <m/>
    <m/>
    <m/>
    <m/>
    <m/>
    <m/>
    <m/>
    <m/>
    <m/>
    <s v=""/>
    <m/>
    <n v="0"/>
  </r>
  <r>
    <x v="40"/>
    <s v="Dexia CL"/>
    <d v="2004-04-10T00:00:00"/>
    <d v="2005-12-01T00:00:00"/>
    <n v="17.75"/>
    <s v="Barrière avec multiplicateur"/>
    <s v="Struct"/>
    <x v="13"/>
    <n v="1"/>
    <m/>
    <m/>
    <m/>
    <m/>
    <m/>
    <m/>
    <m/>
    <m/>
    <m/>
    <m/>
    <m/>
    <m/>
    <s v=""/>
    <m/>
    <n v="0"/>
  </r>
  <r>
    <x v="41"/>
    <s v="Dexia CL"/>
    <d v="2004-04-10T00:00:00"/>
    <d v="2005-07-01T00:00:00"/>
    <n v="15"/>
    <s v="Barrière hors zone EUR"/>
    <s v="Struct"/>
    <x v="13"/>
    <n v="1"/>
    <m/>
    <m/>
    <m/>
    <m/>
    <m/>
    <m/>
    <m/>
    <m/>
    <m/>
    <m/>
    <m/>
    <m/>
    <s v=""/>
    <m/>
    <n v="0"/>
  </r>
  <r>
    <x v="42"/>
    <s v="Dexia CL"/>
    <d v="2004-04-15T00:00:00"/>
    <d v="2005-04-01T00:00:00"/>
    <n v="15"/>
    <s v="Variable hors zone EUR"/>
    <s v="Struct"/>
    <x v="13"/>
    <n v="1"/>
    <m/>
    <m/>
    <m/>
    <m/>
    <m/>
    <m/>
    <m/>
    <m/>
    <m/>
    <m/>
    <m/>
    <m/>
    <s v=""/>
    <m/>
    <n v="0"/>
  </r>
  <r>
    <x v="43"/>
    <s v="Dexia CL"/>
    <d v="2004-04-29T00:00:00"/>
    <d v="2007-05-01T00:00:00"/>
    <n v="21"/>
    <s v="Barrière"/>
    <s v="Struct"/>
    <x v="13"/>
    <n v="1"/>
    <m/>
    <m/>
    <m/>
    <m/>
    <m/>
    <m/>
    <m/>
    <m/>
    <m/>
    <m/>
    <m/>
    <m/>
    <s v=""/>
    <m/>
    <n v="0"/>
  </r>
  <r>
    <x v="44"/>
    <s v="Dexia CL"/>
    <d v="2004-06-15T00:00:00"/>
    <d v="2005-02-01T00:00:00"/>
    <n v="10"/>
    <s v="Change"/>
    <s v="Struct"/>
    <x v="13"/>
    <n v="1"/>
    <m/>
    <m/>
    <m/>
    <m/>
    <m/>
    <m/>
    <m/>
    <m/>
    <m/>
    <m/>
    <m/>
    <m/>
    <s v=""/>
    <m/>
    <n v="0"/>
  </r>
  <r>
    <x v="45"/>
    <s v="Dexia CL"/>
    <d v="2004-07-25T00:00:00"/>
    <d v="2006-03-01T00:00:00"/>
    <n v="18"/>
    <s v="Pente"/>
    <s v="Struct"/>
    <x v="13"/>
    <n v="1"/>
    <m/>
    <m/>
    <m/>
    <m/>
    <m/>
    <m/>
    <m/>
    <m/>
    <m/>
    <m/>
    <m/>
    <m/>
    <s v=""/>
    <m/>
    <n v="0"/>
  </r>
  <r>
    <x v="47"/>
    <s v="Dexia CL"/>
    <d v="2005-02-23T00:00:00"/>
    <d v="2007-02-01T00:00:00"/>
    <n v="17"/>
    <s v="Barrière avec multiplicateur"/>
    <s v="Struct"/>
    <x v="13"/>
    <n v="1"/>
    <m/>
    <m/>
    <m/>
    <m/>
    <m/>
    <m/>
    <m/>
    <m/>
    <m/>
    <m/>
    <m/>
    <m/>
    <s v=""/>
    <m/>
    <n v="0"/>
  </r>
  <r>
    <x v="48"/>
    <s v="Dexia CL"/>
    <d v="2005-02-23T00:00:00"/>
    <d v="2007-05-01T00:00:00"/>
    <n v="15"/>
    <s v="Variable hors zone EUR"/>
    <s v="Struct"/>
    <x v="13"/>
    <n v="1"/>
    <m/>
    <m/>
    <m/>
    <m/>
    <m/>
    <m/>
    <m/>
    <m/>
    <m/>
    <m/>
    <m/>
    <m/>
    <s v=""/>
    <m/>
    <n v="0"/>
  </r>
  <r>
    <x v="49"/>
    <s v="Crédit Mutuel"/>
    <d v="2005-03-24T00:00:00"/>
    <d v="2010-03-23T00:00:00"/>
    <n v="5"/>
    <s v="Fixe"/>
    <s v="Non_st"/>
    <x v="13"/>
    <n v="1"/>
    <m/>
    <m/>
    <m/>
    <m/>
    <m/>
    <m/>
    <m/>
    <m/>
    <m/>
    <m/>
    <m/>
    <m/>
    <s v=""/>
    <m/>
    <n v="0"/>
  </r>
  <r>
    <x v="50"/>
    <s v="Dexia CL"/>
    <d v="2005-04-01T00:00:00"/>
    <d v="2006-07-01T00:00:00"/>
    <n v="19"/>
    <s v="Change"/>
    <s v="Struct"/>
    <x v="13"/>
    <n v="1"/>
    <m/>
    <m/>
    <m/>
    <m/>
    <m/>
    <m/>
    <m/>
    <m/>
    <m/>
    <m/>
    <m/>
    <m/>
    <s v=""/>
    <m/>
    <n v="0"/>
  </r>
  <r>
    <x v="51"/>
    <s v="Dexia CL"/>
    <d v="2005-04-01T00:00:00"/>
    <d v="2007-05-01T00:00:00"/>
    <n v="15"/>
    <s v="Change"/>
    <s v="Struct"/>
    <x v="13"/>
    <n v="1"/>
    <m/>
    <m/>
    <m/>
    <m/>
    <m/>
    <m/>
    <m/>
    <m/>
    <m/>
    <m/>
    <m/>
    <m/>
    <s v=""/>
    <m/>
    <n v="0"/>
  </r>
  <r>
    <x v="52"/>
    <s v="CDC"/>
    <d v="2005-05-01T00:00:00"/>
    <d v="2011-04-30T00:00:00"/>
    <n v="6"/>
    <s v="Variable"/>
    <s v="Non_st"/>
    <x v="13"/>
    <n v="1"/>
    <m/>
    <m/>
    <m/>
    <m/>
    <m/>
    <m/>
    <m/>
    <m/>
    <m/>
    <m/>
    <m/>
    <m/>
    <s v=""/>
    <m/>
    <n v="0"/>
  </r>
  <r>
    <x v="53"/>
    <s v="CDC"/>
    <d v="2005-05-01T00:00:00"/>
    <d v="2013-04-29T00:00:00"/>
    <n v="8"/>
    <s v="Variable"/>
    <s v="Non_st"/>
    <x v="13"/>
    <n v="1"/>
    <m/>
    <m/>
    <m/>
    <m/>
    <m/>
    <n v="0"/>
    <m/>
    <n v="6877.86"/>
    <n v="464314.98"/>
    <m/>
    <n v="0"/>
    <n v="471192.83999999997"/>
    <n v="0"/>
    <m/>
    <n v="0"/>
  </r>
  <r>
    <x v="54"/>
    <s v="Dexia CL"/>
    <d v="2005-06-01T00:00:00"/>
    <d v="2006-03-29T00:00:00"/>
    <n v="17.25"/>
    <s v="Change"/>
    <s v="Struct"/>
    <x v="13"/>
    <n v="1"/>
    <m/>
    <m/>
    <m/>
    <m/>
    <m/>
    <m/>
    <m/>
    <m/>
    <m/>
    <m/>
    <m/>
    <m/>
    <s v=""/>
    <m/>
    <n v="0"/>
  </r>
  <r>
    <x v="55"/>
    <s v="Dexia CL"/>
    <d v="2005-07-01T00:00:00"/>
    <d v="2006-07-01T00:00:00"/>
    <n v="16"/>
    <s v="Pente"/>
    <s v="Struct"/>
    <x v="13"/>
    <n v="1"/>
    <m/>
    <m/>
    <m/>
    <m/>
    <m/>
    <m/>
    <m/>
    <m/>
    <m/>
    <m/>
    <m/>
    <m/>
    <s v=""/>
    <m/>
    <n v="0"/>
  </r>
  <r>
    <x v="56"/>
    <s v="Dexia CL"/>
    <d v="2005-12-01T00:00:00"/>
    <d v="2006-03-29T00:00:00"/>
    <n v="16"/>
    <s v="Pente"/>
    <s v="Struct"/>
    <x v="13"/>
    <n v="1"/>
    <m/>
    <m/>
    <m/>
    <m/>
    <m/>
    <m/>
    <m/>
    <m/>
    <m/>
    <m/>
    <m/>
    <m/>
    <s v=""/>
    <m/>
    <n v="0"/>
  </r>
  <r>
    <x v="57"/>
    <s v="Dexia CL"/>
    <d v="2005-12-23T00:00:00"/>
    <d v="2007-05-01T00:00:00"/>
    <n v="18.170000000000002"/>
    <s v="Pente"/>
    <s v="Struct"/>
    <x v="13"/>
    <n v="1"/>
    <m/>
    <m/>
    <m/>
    <m/>
    <m/>
    <m/>
    <m/>
    <m/>
    <m/>
    <m/>
    <m/>
    <m/>
    <s v=""/>
    <m/>
    <n v="0"/>
  </r>
  <r>
    <x v="60"/>
    <s v="Crédit Agricole"/>
    <d v="2006-03-06T00:00:00"/>
    <d v="2021-03-02T00:00:00"/>
    <n v="15"/>
    <s v="Barrière"/>
    <s v="Struct"/>
    <x v="13"/>
    <n v="1"/>
    <m/>
    <m/>
    <m/>
    <m/>
    <m/>
    <m/>
    <m/>
    <m/>
    <m/>
    <m/>
    <m/>
    <m/>
    <s v=""/>
    <m/>
    <n v="0"/>
  </r>
  <r>
    <x v="61"/>
    <s v="Crédit Agricole"/>
    <d v="2006-03-06T00:00:00"/>
    <d v="2021-03-06T00:00:00"/>
    <n v="15"/>
    <s v="Fixe"/>
    <s v="Non_st"/>
    <x v="13"/>
    <n v="1"/>
    <m/>
    <m/>
    <m/>
    <m/>
    <m/>
    <n v="2994666"/>
    <n v="3.2199999999999999E-2"/>
    <n v="119915.72"/>
    <n v="317922.78000000003"/>
    <n v="-13112.33"/>
    <n v="89101.57"/>
    <n v="424726.17"/>
    <n v="0"/>
    <m/>
    <n v="0"/>
  </r>
  <r>
    <x v="63"/>
    <s v="Dexia CL"/>
    <d v="2006-07-01T00:00:00"/>
    <d v="2011-07-13T00:00:00"/>
    <n v="20"/>
    <s v="Change"/>
    <s v="Struct"/>
    <x v="13"/>
    <n v="1"/>
    <m/>
    <m/>
    <m/>
    <m/>
    <m/>
    <m/>
    <m/>
    <m/>
    <m/>
    <m/>
    <m/>
    <m/>
    <s v=""/>
    <m/>
    <n v="0"/>
  </r>
  <r>
    <x v="65"/>
    <s v="Dexia CL"/>
    <d v="2006-10-01T00:00:00"/>
    <d v="2009-10-01T00:00:00"/>
    <n v="19"/>
    <s v="Change"/>
    <s v="Struct"/>
    <x v="13"/>
    <n v="1"/>
    <m/>
    <m/>
    <m/>
    <m/>
    <m/>
    <m/>
    <m/>
    <m/>
    <m/>
    <m/>
    <m/>
    <m/>
    <s v=""/>
    <m/>
    <n v="0"/>
  </r>
  <r>
    <x v="66"/>
    <s v="Dexia CL"/>
    <d v="2006-10-01T00:00:00"/>
    <d v="2008-12-01T00:00:00"/>
    <n v="19.170000000000002"/>
    <s v="Change"/>
    <s v="Struct"/>
    <x v="13"/>
    <n v="1"/>
    <m/>
    <m/>
    <m/>
    <m/>
    <m/>
    <m/>
    <m/>
    <m/>
    <m/>
    <m/>
    <m/>
    <m/>
    <s v=""/>
    <m/>
    <n v="0"/>
  </r>
  <r>
    <x v="72"/>
    <s v="Dexia CL"/>
    <d v="2007-02-01T00:00:00"/>
    <d v="2008-08-08T00:00:00"/>
    <n v="18.75"/>
    <s v="Change"/>
    <s v="Struct"/>
    <x v="13"/>
    <n v="1"/>
    <m/>
    <m/>
    <m/>
    <m/>
    <m/>
    <m/>
    <m/>
    <m/>
    <m/>
    <m/>
    <m/>
    <m/>
    <s v=""/>
    <m/>
    <n v="0"/>
  </r>
  <r>
    <x v="73"/>
    <s v="Crédit Agricole"/>
    <d v="2007-04-10T00:00:00"/>
    <d v="2028-03-01T00:00:00"/>
    <n v="20"/>
    <s v="Pente"/>
    <s v="Struct"/>
    <x v="13"/>
    <n v="1"/>
    <m/>
    <m/>
    <m/>
    <m/>
    <m/>
    <n v="3969154"/>
    <n v="3.5400000000000001E-2"/>
    <n v="144851.69"/>
    <n v="197961.47"/>
    <m/>
    <n v="11190.81"/>
    <n v="342813.16000000003"/>
    <n v="0"/>
    <m/>
    <n v="0"/>
  </r>
  <r>
    <x v="74"/>
    <s v="Dexia CL"/>
    <d v="2007-05-01T00:00:00"/>
    <d v="2009-12-29T00:00:00"/>
    <n v="17"/>
    <s v="Courbes"/>
    <s v="Struct"/>
    <x v="13"/>
    <n v="1"/>
    <m/>
    <m/>
    <m/>
    <m/>
    <m/>
    <m/>
    <m/>
    <m/>
    <m/>
    <m/>
    <m/>
    <m/>
    <s v=""/>
    <m/>
    <n v="0"/>
  </r>
  <r>
    <x v="75"/>
    <s v="Dexia CL"/>
    <d v="2007-05-01T00:00:00"/>
    <d v="2009-12-29T00:00:00"/>
    <n v="16.920000000000002"/>
    <s v="Écart d'inflation"/>
    <s v="Struct"/>
    <x v="13"/>
    <n v="1"/>
    <m/>
    <m/>
    <m/>
    <m/>
    <m/>
    <m/>
    <m/>
    <m/>
    <m/>
    <m/>
    <m/>
    <m/>
    <s v=""/>
    <m/>
    <n v="0"/>
  </r>
  <r>
    <x v="76"/>
    <s v="Société générale"/>
    <d v="2007-05-24T00:00:00"/>
    <d v="2009-04-01T00:00:00"/>
    <n v="19"/>
    <s v="Change"/>
    <s v="Struct"/>
    <x v="13"/>
    <n v="1"/>
    <m/>
    <m/>
    <m/>
    <m/>
    <m/>
    <m/>
    <m/>
    <m/>
    <m/>
    <m/>
    <m/>
    <m/>
    <s v=""/>
    <m/>
    <n v="0"/>
  </r>
  <r>
    <x v="77"/>
    <s v="Caisse d'Épargne"/>
    <d v="2007-07-25T00:00:00"/>
    <d v="2012-02-25T00:00:00"/>
    <n v="18.579999999999998"/>
    <s v="Courbes"/>
    <s v="Struct"/>
    <x v="13"/>
    <n v="1"/>
    <m/>
    <m/>
    <m/>
    <m/>
    <m/>
    <m/>
    <m/>
    <m/>
    <m/>
    <m/>
    <m/>
    <m/>
    <s v=""/>
    <m/>
    <n v="0"/>
  </r>
  <r>
    <x v="80"/>
    <s v="Dexia CL"/>
    <d v="2007-09-25T00:00:00"/>
    <d v="2010-01-01T00:00:00"/>
    <n v="25.42"/>
    <s v="Barrière avec multiplicateur"/>
    <s v="Struct"/>
    <x v="13"/>
    <n v="1"/>
    <m/>
    <m/>
    <m/>
    <m/>
    <m/>
    <m/>
    <m/>
    <m/>
    <m/>
    <m/>
    <m/>
    <m/>
    <s v=""/>
    <m/>
    <n v="0"/>
  </r>
  <r>
    <x v="82"/>
    <s v="Caisse d'Épargne"/>
    <d v="2007-12-31T00:00:00"/>
    <d v="2013-02-25T00:00:00"/>
    <n v="20"/>
    <s v="Courbes"/>
    <s v="Struct"/>
    <x v="13"/>
    <n v="1"/>
    <m/>
    <m/>
    <m/>
    <m/>
    <m/>
    <n v="0"/>
    <m/>
    <n v="95165.14"/>
    <n v="202888.24"/>
    <m/>
    <n v="0"/>
    <n v="298053.38"/>
    <n v="0"/>
    <m/>
    <n v="4052000"/>
  </r>
  <r>
    <x v="92"/>
    <s v="Dexia CL"/>
    <d v="2009-12-01T00:00:00"/>
    <d v="2012-05-01T00:00:00"/>
    <n v="20.83"/>
    <s v="Change"/>
    <s v="Struct"/>
    <x v="13"/>
    <n v="1"/>
    <m/>
    <m/>
    <m/>
    <m/>
    <m/>
    <m/>
    <m/>
    <m/>
    <m/>
    <m/>
    <m/>
    <m/>
    <s v=""/>
    <m/>
    <n v="0"/>
  </r>
  <r>
    <x v="86"/>
    <s v="Dexia CL"/>
    <d v="2009-12-29T00:00:00"/>
    <d v="2010-05-01T00:00:00"/>
    <n v="20.83"/>
    <s v="Courbes"/>
    <s v="Struct"/>
    <x v="13"/>
    <n v="1"/>
    <m/>
    <m/>
    <m/>
    <m/>
    <m/>
    <m/>
    <m/>
    <m/>
    <m/>
    <m/>
    <m/>
    <m/>
    <s v=""/>
    <m/>
    <n v="0"/>
  </r>
  <r>
    <x v="87"/>
    <s v="Dexia CL"/>
    <d v="2008-08-08T00:00:00"/>
    <d v="2011-11-01T00:00:00"/>
    <n v="25.33"/>
    <s v="Change"/>
    <s v="Struct"/>
    <x v="13"/>
    <n v="1"/>
    <m/>
    <m/>
    <m/>
    <m/>
    <m/>
    <m/>
    <m/>
    <m/>
    <m/>
    <m/>
    <m/>
    <m/>
    <s v=""/>
    <m/>
    <n v="0"/>
  </r>
  <r>
    <x v="88"/>
    <s v="Dexia CL"/>
    <d v="2008-08-08T00:00:00"/>
    <d v="2012-11-01T00:00:00"/>
    <n v="25.33"/>
    <s v="Change"/>
    <s v="Struct"/>
    <x v="13"/>
    <n v="1"/>
    <m/>
    <m/>
    <m/>
    <m/>
    <m/>
    <m/>
    <m/>
    <m/>
    <m/>
    <m/>
    <m/>
    <m/>
    <s v=""/>
    <m/>
    <n v="0"/>
  </r>
  <r>
    <x v="89"/>
    <s v="Dexia CL"/>
    <d v="2012-11-01T00:00:00"/>
    <d v="2017-11-01T00:00:00"/>
    <n v="25"/>
    <s v="Change"/>
    <s v="Struct"/>
    <x v="13"/>
    <n v="1"/>
    <m/>
    <m/>
    <m/>
    <m/>
    <m/>
    <n v="8546563"/>
    <n v="2.9600000000000001E-2"/>
    <n v="320042.99"/>
    <n v="246162.08"/>
    <m/>
    <n v="42163.05"/>
    <n v="566205.06999999995"/>
    <n v="0"/>
    <m/>
    <n v="0"/>
  </r>
  <r>
    <x v="90"/>
    <s v="Dexia CL"/>
    <d v="2008-12-01T00:00:00"/>
    <d v="2010-12-01T00:00:00"/>
    <n v="17"/>
    <s v="Change"/>
    <s v="Struct"/>
    <x v="13"/>
    <n v="1"/>
    <m/>
    <m/>
    <m/>
    <m/>
    <m/>
    <m/>
    <m/>
    <m/>
    <m/>
    <m/>
    <m/>
    <m/>
    <s v=""/>
    <m/>
    <n v="0"/>
  </r>
  <r>
    <x v="91"/>
    <s v="Dexia CL"/>
    <d v="2008-12-01T00:00:00"/>
    <d v="2012-12-01T00:00:00"/>
    <n v="25"/>
    <s v="Pente"/>
    <s v="Struct"/>
    <x v="13"/>
    <n v="1"/>
    <m/>
    <m/>
    <m/>
    <m/>
    <m/>
    <m/>
    <m/>
    <m/>
    <m/>
    <m/>
    <m/>
    <m/>
    <s v=""/>
    <m/>
    <n v="0"/>
  </r>
  <r>
    <x v="93"/>
    <s v="Dexia CL"/>
    <d v="2009-03-27T00:00:00"/>
    <d v="2029-04-01T00:00:00"/>
    <n v="20"/>
    <s v="Fixe"/>
    <s v="Non_st"/>
    <x v="13"/>
    <n v="1"/>
    <m/>
    <m/>
    <m/>
    <m/>
    <m/>
    <n v="5073513"/>
    <n v="4.53E-2"/>
    <n v="236790.56"/>
    <n v="222226.2"/>
    <m/>
    <n v="57454.71"/>
    <n v="459016.76"/>
    <n v="0"/>
    <m/>
    <n v="0"/>
  </r>
  <r>
    <x v="94"/>
    <s v="Société générale"/>
    <d v="2009-04-01T00:00:00"/>
    <d v="2010-10-01T00:00:00"/>
    <n v="18"/>
    <s v="Change"/>
    <s v="Struct"/>
    <x v="13"/>
    <n v="1"/>
    <m/>
    <m/>
    <m/>
    <m/>
    <m/>
    <m/>
    <m/>
    <m/>
    <m/>
    <m/>
    <m/>
    <m/>
    <s v=""/>
    <m/>
    <n v="0"/>
  </r>
  <r>
    <x v="95"/>
    <s v="Dexia CL"/>
    <d v="2009-10-01T00:00:00"/>
    <d v="2010-10-01T00:00:00"/>
    <n v="16"/>
    <s v="Change"/>
    <s v="Struct"/>
    <x v="13"/>
    <n v="1"/>
    <m/>
    <m/>
    <m/>
    <m/>
    <m/>
    <m/>
    <m/>
    <m/>
    <m/>
    <m/>
    <m/>
    <m/>
    <s v=""/>
    <m/>
    <n v="0"/>
  </r>
  <r>
    <x v="98"/>
    <s v="Dexia CL"/>
    <d v="2009-11-01T00:00:00"/>
    <d v="2017-11-01T00:00:00"/>
    <n v="23"/>
    <s v="Pente"/>
    <s v="Struct"/>
    <x v="13"/>
    <n v="1"/>
    <m/>
    <m/>
    <m/>
    <m/>
    <m/>
    <n v="11431629"/>
    <n v="3.78E-2"/>
    <n v="446461.18"/>
    <n v="343308.49"/>
    <m/>
    <n v="71257.16"/>
    <n v="789769.66999999993"/>
    <n v="0"/>
    <m/>
    <n v="0"/>
  </r>
  <r>
    <x v="96"/>
    <s v="Dexia CL"/>
    <d v="2009-11-16T00:00:00"/>
    <d v="2011-12-01T00:00:00"/>
    <n v="25"/>
    <s v="Variable"/>
    <s v="Non_st"/>
    <x v="13"/>
    <n v="1"/>
    <m/>
    <m/>
    <m/>
    <m/>
    <m/>
    <m/>
    <m/>
    <m/>
    <m/>
    <m/>
    <m/>
    <m/>
    <s v=""/>
    <m/>
    <n v="0"/>
  </r>
  <r>
    <x v="99"/>
    <s v="Caisse d'Épargne"/>
    <d v="2009-11-25T00:00:00"/>
    <d v="2026-11-25T00:00:00"/>
    <n v="17"/>
    <s v="Fixe"/>
    <s v="Restr_sec"/>
    <x v="13"/>
    <n v="1"/>
    <m/>
    <m/>
    <m/>
    <m/>
    <m/>
    <n v="3622857"/>
    <n v="4.7500000000000001E-2"/>
    <n v="182991.12"/>
    <n v="217236.88"/>
    <m/>
    <n v="17027.43"/>
    <n v="400228"/>
    <n v="0"/>
    <m/>
    <n v="0"/>
  </r>
  <r>
    <x v="97"/>
    <s v="Arkea"/>
    <d v="2009-12-21T00:00:00"/>
    <d v="2030-10-30T00:00:00"/>
    <n v="20"/>
    <s v="Variable"/>
    <s v="Non_st"/>
    <x v="13"/>
    <n v="1"/>
    <m/>
    <m/>
    <m/>
    <m/>
    <m/>
    <n v="8677329"/>
    <n v="6.6E-3"/>
    <n v="58448.34"/>
    <n v="447255.9"/>
    <m/>
    <n v="9833.34"/>
    <n v="505704.24"/>
    <n v="0"/>
    <m/>
    <n v="0"/>
  </r>
  <r>
    <x v="100"/>
    <s v="Société générale"/>
    <d v="2010-10-01T00:00:00"/>
    <d v="2014-01-01T00:00:00"/>
    <n v="25"/>
    <s v="Barrière avec multiplicateur"/>
    <s v="Struct"/>
    <x v="13"/>
    <n v="1"/>
    <m/>
    <m/>
    <m/>
    <m/>
    <m/>
    <n v="4180214"/>
    <n v="4.0300000000000002E-2"/>
    <n v="173764.5"/>
    <n v="103392.66"/>
    <m/>
    <n v="166643.76"/>
    <n v="277157.16000000003"/>
    <n v="0"/>
    <m/>
    <n v="0"/>
  </r>
  <r>
    <x v="101"/>
    <s v="Dexia CL"/>
    <d v="2010-01-01T00:00:00"/>
    <d v="2011-11-01T00:00:00"/>
    <n v="23"/>
    <s v="Barrière avec multiplicateur"/>
    <s v="Struct"/>
    <x v="13"/>
    <n v="1"/>
    <m/>
    <m/>
    <m/>
    <m/>
    <m/>
    <m/>
    <m/>
    <m/>
    <m/>
    <m/>
    <m/>
    <m/>
    <s v=""/>
    <m/>
    <n v="0"/>
  </r>
  <r>
    <x v="102"/>
    <s v="Société générale"/>
    <d v="2010-10-01T00:00:00"/>
    <d v="2014-04-01T00:00:00"/>
    <n v="25"/>
    <s v="Barrière avec multiplicateur"/>
    <s v="Struct"/>
    <x v="13"/>
    <n v="1"/>
    <m/>
    <m/>
    <m/>
    <m/>
    <m/>
    <n v="3485016"/>
    <n v="4.0300000000000002E-2"/>
    <n v="144470.48000000001"/>
    <n v="86197.75"/>
    <m/>
    <n v="105834.13"/>
    <n v="230668.23"/>
    <n v="0"/>
    <m/>
    <n v="0"/>
  </r>
  <r>
    <x v="103"/>
    <s v="Dexia CL"/>
    <d v="2010-05-01T00:00:00"/>
    <d v="2011-07-13T00:00:00"/>
    <n v="19"/>
    <s v="Barrière avec multiplicateur"/>
    <s v="Struct"/>
    <x v="13"/>
    <n v="1"/>
    <m/>
    <m/>
    <m/>
    <m/>
    <m/>
    <m/>
    <m/>
    <m/>
    <m/>
    <m/>
    <m/>
    <m/>
    <s v=""/>
    <m/>
    <n v="0"/>
  </r>
  <r>
    <x v="104"/>
    <s v="Dexia CL"/>
    <d v="2010-10-01T00:00:00"/>
    <d v="2011-05-01T00:00:00"/>
    <n v="12"/>
    <s v="Change"/>
    <s v="Struct"/>
    <x v="13"/>
    <n v="1"/>
    <m/>
    <m/>
    <m/>
    <m/>
    <m/>
    <m/>
    <m/>
    <m/>
    <m/>
    <m/>
    <m/>
    <m/>
    <s v=""/>
    <m/>
    <n v="0"/>
  </r>
  <r>
    <x v="105"/>
    <s v="Dexia CL"/>
    <d v="2010-07-25T00:00:00"/>
    <d v="2025-09-01T00:00:00"/>
    <n v="15"/>
    <s v="Fixe"/>
    <s v="Non_st"/>
    <x v="13"/>
    <n v="1"/>
    <m/>
    <m/>
    <m/>
    <m/>
    <m/>
    <n v="607232"/>
    <n v="2.1299999999999999E-2"/>
    <n v="13598.09"/>
    <n v="44987.99"/>
    <m/>
    <n v="1082.9000000000001"/>
    <n v="58586.080000000002"/>
    <n v="0"/>
    <m/>
    <n v="0"/>
  </r>
  <r>
    <x v="106"/>
    <s v="Société générale"/>
    <d v="2010-09-01T00:00:00"/>
    <d v="2030-12-01T00:00:00"/>
    <n v="20"/>
    <s v="Fixe"/>
    <s v="Restr_sec"/>
    <x v="13"/>
    <n v="1"/>
    <m/>
    <m/>
    <m/>
    <m/>
    <m/>
    <n v="1619652"/>
    <n v="4.3799999999999999E-2"/>
    <n v="73072.25"/>
    <n v="59694.41"/>
    <m/>
    <n v="5844.24"/>
    <n v="132766.66"/>
    <n v="0"/>
    <m/>
    <n v="0"/>
  </r>
  <r>
    <x v="107"/>
    <s v="Dexia CL"/>
    <d v="2010-10-01T00:00:00"/>
    <d v="2012-05-01T00:00:00"/>
    <n v="15"/>
    <s v="Change"/>
    <s v="Struct"/>
    <x v="13"/>
    <n v="1"/>
    <m/>
    <m/>
    <m/>
    <m/>
    <m/>
    <m/>
    <m/>
    <m/>
    <m/>
    <m/>
    <m/>
    <m/>
    <s v=""/>
    <m/>
    <n v="0"/>
  </r>
  <r>
    <x v="108"/>
    <s v="Dexia CL"/>
    <d v="2010-12-01T00:00:00"/>
    <d v="2011-12-01T00:00:00"/>
    <n v="17"/>
    <s v="Change"/>
    <s v="Struct"/>
    <x v="13"/>
    <n v="1"/>
    <m/>
    <m/>
    <m/>
    <m/>
    <m/>
    <m/>
    <m/>
    <m/>
    <m/>
    <m/>
    <m/>
    <m/>
    <s v=""/>
    <m/>
    <n v="0"/>
  </r>
  <r>
    <x v="109"/>
    <s v="Société générale"/>
    <d v="2010-12-01T00:00:00"/>
    <d v="2030-12-01T00:00:00"/>
    <n v="20"/>
    <s v="Fixe"/>
    <s v="Restr_sec"/>
    <x v="13"/>
    <n v="1"/>
    <m/>
    <m/>
    <m/>
    <m/>
    <m/>
    <n v="2326957"/>
    <n v="4.3799999999999999E-2"/>
    <n v="105921.81"/>
    <n v="85763.08"/>
    <m/>
    <n v="8396.44"/>
    <n v="191684.89"/>
    <n v="0"/>
    <m/>
    <n v="0"/>
  </r>
  <r>
    <x v="83"/>
    <s v="Société générale"/>
    <d v="2010-12-18T00:00:00"/>
    <d v="2026-03-31T00:00:00"/>
    <n v="15"/>
    <s v="Variable"/>
    <s v="Non_st"/>
    <x v="13"/>
    <n v="1"/>
    <m/>
    <m/>
    <m/>
    <m/>
    <m/>
    <n v="6946484"/>
    <n v="1.09E-2"/>
    <n v="78046.33"/>
    <n v="400055.48"/>
    <m/>
    <n v="0"/>
    <n v="478101.81"/>
    <n v="0"/>
    <m/>
    <n v="0"/>
  </r>
  <r>
    <x v="110"/>
    <s v="Dexia CL"/>
    <d v="2011-04-01T00:00:00"/>
    <d v="2014-05-01T00:00:00"/>
    <n v="25"/>
    <s v="Barrière avec multiplicateur"/>
    <s v="Struct"/>
    <x v="13"/>
    <n v="1"/>
    <m/>
    <m/>
    <m/>
    <m/>
    <m/>
    <n v="12311783"/>
    <n v="9.4999999999999998E-3"/>
    <n v="113012.08"/>
    <n v="238016.48"/>
    <m/>
    <n v="85951.26"/>
    <n v="351028.56"/>
    <n v="0"/>
    <m/>
    <n v="0"/>
  </r>
  <r>
    <x v="111"/>
    <s v="Dexia CL"/>
    <d v="2011-07-01T00:00:00"/>
    <d v="2036-05-01T00:00:00"/>
    <n v="25"/>
    <s v="Barrière avec multiplicateur"/>
    <s v="Struct"/>
    <x v="13"/>
    <n v="1"/>
    <m/>
    <m/>
    <m/>
    <m/>
    <m/>
    <n v="13293435"/>
    <n v="4.0300000000000002E-2"/>
    <n v="576208.9"/>
    <n v="320064.27"/>
    <m/>
    <n v="376536.09"/>
    <n v="896273.17"/>
    <n v="0"/>
    <m/>
    <n v="0"/>
  </r>
  <r>
    <x v="84"/>
    <s v="Dexia CL"/>
    <d v="2011-07-13T00:00:00"/>
    <d v="2016-10-01T00:00:00"/>
    <n v="15"/>
    <s v="Change"/>
    <s v="Struct"/>
    <x v="13"/>
    <n v="1"/>
    <m/>
    <m/>
    <m/>
    <m/>
    <m/>
    <n v="12726842"/>
    <n v="3.9800000000000002E-2"/>
    <n v="535737.46"/>
    <n v="684289.17"/>
    <m/>
    <n v="254897.44"/>
    <n v="1220026.6299999999"/>
    <n v="0"/>
    <m/>
    <n v="0"/>
  </r>
  <r>
    <x v="112"/>
    <s v="Caisse d'Épargne"/>
    <d v="2011-07-08T00:00:00"/>
    <d v="2027-05-29T00:00:00"/>
    <n v="15"/>
    <s v="Variable"/>
    <s v="Non_st"/>
    <x v="13"/>
    <n v="1"/>
    <m/>
    <m/>
    <m/>
    <m/>
    <m/>
    <n v="4650540"/>
    <n v="1.37E-2"/>
    <n v="65691.75"/>
    <n v="235855.35999999999"/>
    <m/>
    <n v="5871.15"/>
    <n v="301547.11"/>
    <n v="0"/>
    <m/>
    <n v="0"/>
  </r>
  <r>
    <x v="113"/>
    <s v="Caisse d'Épargne"/>
    <d v="2011-07-08T00:00:00"/>
    <d v="2027-05-29T00:00:00"/>
    <n v="15"/>
    <s v="Variable"/>
    <s v="Non_st"/>
    <x v="13"/>
    <n v="1"/>
    <m/>
    <m/>
    <m/>
    <m/>
    <m/>
    <n v="4650540"/>
    <n v="1.0699999999999999E-2"/>
    <n v="51306.35"/>
    <n v="235855.35999999999"/>
    <m/>
    <n v="4647.99"/>
    <n v="287161.70999999996"/>
    <n v="0"/>
    <m/>
    <n v="0"/>
  </r>
  <r>
    <x v="114"/>
    <s v="Dexia CL"/>
    <d v="2011-11-01T00:00:00"/>
    <d v="2018-01-01T00:00:00"/>
    <n v="21.17"/>
    <s v="Barrière avec multiplicateur"/>
    <s v="Struct"/>
    <x v="13"/>
    <n v="1"/>
    <m/>
    <m/>
    <m/>
    <m/>
    <m/>
    <n v="8708301"/>
    <n v="3.5400000000000001E-2"/>
    <n v="319911.93"/>
    <n v="282198.24"/>
    <m/>
    <n v="308177.09000000003"/>
    <n v="602110.16999999993"/>
    <n v="0"/>
    <m/>
    <n v="0"/>
  </r>
  <r>
    <x v="115"/>
    <s v="Dexia CL"/>
    <d v="2011-11-01T00:00:00"/>
    <d v="2014-01-15T00:00:00"/>
    <n v="22"/>
    <s v="Change"/>
    <s v="Struct"/>
    <x v="13"/>
    <n v="1"/>
    <m/>
    <m/>
    <m/>
    <m/>
    <m/>
    <n v="7369029"/>
    <n v="8.8300000000000003E-2"/>
    <n v="375314.87"/>
    <n v="621196.30000000005"/>
    <m/>
    <n v="36476.699999999997"/>
    <n v="996511.17"/>
    <n v="0"/>
    <m/>
    <n v="0"/>
  </r>
  <r>
    <x v="116"/>
    <s v="Dexia CL"/>
    <d v="2011-12-01T00:00:00"/>
    <d v="2012-12-01T00:00:00"/>
    <n v="18"/>
    <s v="Change"/>
    <s v="Struct"/>
    <x v="13"/>
    <n v="1"/>
    <m/>
    <m/>
    <m/>
    <m/>
    <m/>
    <m/>
    <m/>
    <m/>
    <m/>
    <m/>
    <m/>
    <m/>
    <s v=""/>
    <m/>
    <n v="0"/>
  </r>
  <r>
    <x v="117"/>
    <s v="Dexia CL"/>
    <d v="2011-12-01T00:00:00"/>
    <d v="2035-12-01T00:00:00"/>
    <n v="24"/>
    <s v="Variable"/>
    <s v="Non_st"/>
    <x v="13"/>
    <n v="1"/>
    <m/>
    <m/>
    <m/>
    <m/>
    <m/>
    <n v="4471278"/>
    <n v="6.1999999999999998E-3"/>
    <n v="28164.560000000001"/>
    <n v="178218.66"/>
    <m/>
    <n v="2358.6"/>
    <n v="206383.22"/>
    <n v="0"/>
    <m/>
    <n v="0"/>
  </r>
  <r>
    <x v="118"/>
    <s v="Caisse d'Épargne"/>
    <d v="2012-01-05T00:00:00"/>
    <d v="2032-01-05T00:00:00"/>
    <n v="20"/>
    <s v="Barrière"/>
    <s v="Struct"/>
    <x v="13"/>
    <n v="1"/>
    <m/>
    <m/>
    <m/>
    <m/>
    <m/>
    <n v="6270153"/>
    <n v="4.9000000000000002E-2"/>
    <n v="320504.17"/>
    <n v="229847"/>
    <m/>
    <n v="304102.43"/>
    <n v="550351.16999999993"/>
    <n v="0"/>
    <m/>
    <n v="0"/>
  </r>
  <r>
    <x v="121"/>
    <s v="Caisse d'Épargne"/>
    <d v="2012-02-25T00:00:00"/>
    <d v="2013-02-25T00:00:00"/>
    <n v="14"/>
    <s v="Courbes"/>
    <s v="Struct"/>
    <x v="13"/>
    <n v="1"/>
    <m/>
    <m/>
    <m/>
    <m/>
    <m/>
    <m/>
    <m/>
    <m/>
    <m/>
    <m/>
    <m/>
    <m/>
    <s v=""/>
    <m/>
    <n v="11349000"/>
  </r>
  <r>
    <x v="119"/>
    <s v="CDC"/>
    <d v="2012-03-23T00:00:00"/>
    <d v="2027-10-01T00:00:00"/>
    <n v="15.25"/>
    <s v="Variable"/>
    <s v="Non_st"/>
    <x v="13"/>
    <n v="1"/>
    <m/>
    <m/>
    <m/>
    <m/>
    <m/>
    <n v="5729167"/>
    <n v="2.2100000000000002E-2"/>
    <n v="132934.47"/>
    <n v="416666.68"/>
    <m/>
    <n v="31932.94"/>
    <n v="549601.15"/>
    <n v="0"/>
    <m/>
    <n v="0"/>
  </r>
  <r>
    <x v="122"/>
    <s v="Dexia CL"/>
    <d v="2012-05-01T00:00:00"/>
    <d v="2031-10-01T00:00:00"/>
    <n v="19.420000000000002"/>
    <s v="Barrière avec multiplicateur"/>
    <s v="Struct"/>
    <x v="13"/>
    <n v="1"/>
    <m/>
    <m/>
    <m/>
    <m/>
    <m/>
    <n v="14843394"/>
    <n v="2.3199999999999998E-2"/>
    <n v="354279.17"/>
    <n v="502501.49"/>
    <m/>
    <n v="91652.02"/>
    <n v="856780.65999999992"/>
    <n v="0"/>
    <m/>
    <n v="0"/>
  </r>
  <r>
    <x v="123"/>
    <s v="Dexia CL"/>
    <d v="2012-05-01T00:00:00"/>
    <d v="2014-05-01T00:00:00"/>
    <n v="17"/>
    <s v="Change"/>
    <s v="Struct"/>
    <x v="13"/>
    <n v="1"/>
    <m/>
    <m/>
    <m/>
    <m/>
    <m/>
    <n v="13697596"/>
    <n v="0.15579999999999999"/>
    <n v="568877.17000000004"/>
    <n v="400000"/>
    <m/>
    <n v="538467.73"/>
    <n v="968877.17"/>
    <n v="0"/>
    <m/>
    <n v="0"/>
  </r>
  <r>
    <x v="124"/>
    <s v="Dexia CL"/>
    <d v="2012-05-01T00:00:00"/>
    <d v="2013-06-01T00:00:00"/>
    <n v="12"/>
    <s v="Change"/>
    <s v="Struct"/>
    <x v="13"/>
    <n v="1"/>
    <m/>
    <m/>
    <m/>
    <m/>
    <n v="6725870.4800000004"/>
    <n v="0"/>
    <m/>
    <n v="203967.23"/>
    <n v="398699.87"/>
    <m/>
    <n v="0"/>
    <n v="602667.1"/>
    <n v="0"/>
    <m/>
    <n v="5947000"/>
  </r>
  <r>
    <x v="125"/>
    <s v="Dexia CL"/>
    <d v="2012-05-01T00:00:00"/>
    <d v="2013-06-01T00:00:00"/>
    <n v="15"/>
    <s v="Variable"/>
    <s v="Non_st"/>
    <x v="13"/>
    <n v="1"/>
    <m/>
    <m/>
    <m/>
    <m/>
    <m/>
    <m/>
    <m/>
    <m/>
    <m/>
    <m/>
    <m/>
    <m/>
    <s v=""/>
    <m/>
    <n v="3815000"/>
  </r>
  <r>
    <x v="126"/>
    <s v="Caisse d'Épargne"/>
    <d v="2012-09-15T00:00:00"/>
    <d v="2033-07-25T00:00:00"/>
    <n v="20.8"/>
    <s v="Fixe"/>
    <s v="Non_st"/>
    <x v="13"/>
    <n v="1"/>
    <m/>
    <m/>
    <m/>
    <m/>
    <m/>
    <n v="19853070"/>
    <n v="4.5100000000000001E-2"/>
    <n v="448543.2"/>
    <n v="146930.48000000001"/>
    <m/>
    <n v="164720.64000000001"/>
    <n v="595473.68000000005"/>
    <n v="0"/>
    <m/>
    <n v="0"/>
  </r>
  <r>
    <x v="127"/>
    <s v="Dexia CL"/>
    <d v="2012-12-01T00:00:00"/>
    <d v="2016-11-01T00:00:00"/>
    <n v="17"/>
    <s v="Change"/>
    <s v="Struct"/>
    <x v="13"/>
    <n v="1"/>
    <m/>
    <m/>
    <m/>
    <m/>
    <m/>
    <n v="9228284"/>
    <n v="0.1208"/>
    <n v="583013.76"/>
    <n v="371503.54"/>
    <m/>
    <n v="46064.52"/>
    <n v="954517.3"/>
    <n v="0"/>
    <m/>
    <n v="0"/>
  </r>
  <r>
    <x v="128"/>
    <s v="Dexia CL"/>
    <d v="2012-12-01T00:00:00"/>
    <d v="2033-12-01T00:00:00"/>
    <n v="21"/>
    <s v="Fixe"/>
    <s v="Restr_sec"/>
    <x v="13"/>
    <n v="1"/>
    <m/>
    <m/>
    <m/>
    <m/>
    <m/>
    <n v="7628767"/>
    <n v="5.21E-2"/>
    <n v="432892.34"/>
    <n v="661762.86"/>
    <m/>
    <n v="32740.13"/>
    <n v="1094655.2"/>
    <n v="0"/>
    <m/>
    <n v="0"/>
  </r>
  <r>
    <x v="129"/>
    <s v="Caisse d'Épargne"/>
    <d v="2013-02-25T00:00:00"/>
    <d v="2014-02-25T00:00:00"/>
    <n v="13"/>
    <s v="Courbes"/>
    <s v="Struct"/>
    <x v="13"/>
    <n v="1"/>
    <m/>
    <m/>
    <m/>
    <m/>
    <m/>
    <n v="10562132"/>
    <n v="5.0700000000000002E-2"/>
    <n v="597666.67000000004"/>
    <n v="786687.72"/>
    <m/>
    <n v="453291.5"/>
    <n v="1384354.3900000001"/>
    <n v="0"/>
    <m/>
    <n v="0"/>
  </r>
  <r>
    <x v="130"/>
    <s v="Caisse d'Épargne"/>
    <d v="2013-02-25T00:00:00"/>
    <d v="2033-02-25T00:00:00"/>
    <n v="20"/>
    <s v="Fixe"/>
    <s v="Restr_sec"/>
    <x v="13"/>
    <n v="1"/>
    <m/>
    <m/>
    <m/>
    <m/>
    <m/>
    <n v="3961464"/>
    <n v="4.4900000000000002E-2"/>
    <n v="135359.41"/>
    <n v="90422.79"/>
    <m/>
    <n v="17582.39"/>
    <n v="225782.2"/>
    <n v="0"/>
    <m/>
    <n v="0"/>
  </r>
  <r>
    <x v="131"/>
    <s v="Dexia CL"/>
    <d v="2013-06-01T00:00:00"/>
    <d v="2033-06-01T00:00:00"/>
    <n v="20"/>
    <s v="Fixe"/>
    <s v="Restr_sec"/>
    <x v="13"/>
    <n v="1"/>
    <m/>
    <m/>
    <m/>
    <m/>
    <m/>
    <n v="16712087"/>
    <n v="5.04E-2"/>
    <n v="0"/>
    <n v="0"/>
    <m/>
    <n v="492421.65"/>
    <n v="0"/>
    <n v="0"/>
    <m/>
    <n v="0"/>
  </r>
  <r>
    <x v="132"/>
    <s v="Caisse d'Épargne"/>
    <d v="2013-12-31T00:00:00"/>
    <d v="2033-12-31T00:00:00"/>
    <n v="20"/>
    <s v="Fixe"/>
    <s v="Non_st"/>
    <x v="13"/>
    <n v="0"/>
    <m/>
    <m/>
    <m/>
    <m/>
    <m/>
    <n v="10000000"/>
    <n v="4.41E-2"/>
    <n v="44059.839999999997"/>
    <n v="0"/>
    <m/>
    <n v="0"/>
    <n v="44059.839999999997"/>
    <n v="0"/>
    <m/>
    <n v="0"/>
  </r>
  <r>
    <x v="133"/>
    <s v="Société générale"/>
    <d v="2014-01-01T00:00:00"/>
    <d v="2035-01-01T00:00:00"/>
    <n v="21"/>
    <s v="Fixe"/>
    <s v="Restr_sec"/>
    <x v="13"/>
    <n v="0"/>
    <m/>
    <m/>
    <m/>
    <m/>
    <m/>
    <m/>
    <m/>
    <m/>
    <m/>
    <m/>
    <m/>
    <m/>
    <s v=""/>
    <m/>
    <n v="0"/>
  </r>
  <r>
    <x v="134"/>
    <s v="Dexia CL"/>
    <d v="2014-01-15T00:00:00"/>
    <d v="2033-11-01T00:00:00"/>
    <n v="19.829999999999998"/>
    <s v="Fixe"/>
    <s v="Restr_sec"/>
    <x v="13"/>
    <n v="0"/>
    <m/>
    <m/>
    <m/>
    <m/>
    <m/>
    <m/>
    <m/>
    <m/>
    <m/>
    <m/>
    <m/>
    <m/>
    <s v=""/>
    <m/>
    <n v="0"/>
  </r>
  <r>
    <x v="135"/>
    <s v="Caisse d'Épargne"/>
    <d v="2014-02-25T00:00:00"/>
    <d v="2018-02-25T00:00:00"/>
    <n v="5"/>
    <s v="Courbes"/>
    <s v="Struct"/>
    <x v="13"/>
    <n v="0"/>
    <m/>
    <m/>
    <m/>
    <m/>
    <m/>
    <m/>
    <m/>
    <m/>
    <m/>
    <m/>
    <m/>
    <m/>
    <s v=""/>
    <m/>
    <n v="0"/>
  </r>
  <r>
    <x v="136"/>
    <s v="Caisse d'Épargne"/>
    <d v="2014-02-25T00:00:00"/>
    <d v="2026-02-25T00:00:00"/>
    <n v="12"/>
    <s v="Fixe"/>
    <s v="Restr_sec"/>
    <x v="13"/>
    <n v="0"/>
    <m/>
    <m/>
    <m/>
    <m/>
    <m/>
    <m/>
    <m/>
    <m/>
    <m/>
    <m/>
    <m/>
    <m/>
    <s v=""/>
    <m/>
    <n v="0"/>
  </r>
  <r>
    <x v="137"/>
    <s v="Société générale"/>
    <d v="2014-04-01T00:00:00"/>
    <d v="2035-04-01T00:00:00"/>
    <n v="21"/>
    <s v="Fixe"/>
    <s v="Restr_sec"/>
    <x v="13"/>
    <n v="0"/>
    <m/>
    <m/>
    <m/>
    <m/>
    <m/>
    <m/>
    <m/>
    <m/>
    <m/>
    <m/>
    <m/>
    <m/>
    <s v=""/>
    <m/>
    <n v="0"/>
  </r>
  <r>
    <x v="138"/>
    <s v="Dexia CL"/>
    <d v="2014-05-01T00:00:00"/>
    <d v="2029-05-01T00:00:00"/>
    <n v="15"/>
    <s v="Fixe"/>
    <s v="Non_st"/>
    <x v="13"/>
    <n v="0"/>
    <m/>
    <m/>
    <m/>
    <m/>
    <m/>
    <n v="6000000"/>
    <n v="4.6699999999999998E-2"/>
    <n v="69165.759999999995"/>
    <n v="0"/>
    <m/>
    <n v="0"/>
    <n v="69165.759999999995"/>
    <n v="0"/>
    <m/>
    <n v="0"/>
  </r>
  <r>
    <x v="139"/>
    <s v="Dexia CL"/>
    <d v="2014-05-01T00:00:00"/>
    <d v="2036-05-01T00:00:00"/>
    <n v="22"/>
    <s v="Fixe"/>
    <s v="Restr_aidé"/>
    <x v="13"/>
    <n v="0"/>
    <m/>
    <m/>
    <m/>
    <m/>
    <m/>
    <m/>
    <m/>
    <m/>
    <m/>
    <m/>
    <m/>
    <m/>
    <s v=""/>
    <m/>
    <n v="0"/>
  </r>
  <r>
    <x v="140"/>
    <s v="Société générale"/>
    <d v="2014-06-30T00:00:00"/>
    <d v="2035-05-31T00:00:00"/>
    <n v="20"/>
    <s v="Variable"/>
    <s v="Non_st"/>
    <x v="13"/>
    <n v="0"/>
    <m/>
    <m/>
    <m/>
    <m/>
    <m/>
    <m/>
    <m/>
    <m/>
    <m/>
    <m/>
    <m/>
    <m/>
    <s v=""/>
    <m/>
    <n v="0"/>
  </r>
  <r>
    <x v="141"/>
    <s v="Caisse d'Épargne"/>
    <d v="2014-09-30T00:00:00"/>
    <d v="2034-09-30T00:00:00"/>
    <n v="20"/>
    <s v="Fixe"/>
    <s v="Non_st"/>
    <x v="13"/>
    <n v="0"/>
    <m/>
    <m/>
    <m/>
    <m/>
    <m/>
    <n v="10000000"/>
    <n v="2.35E-2"/>
    <n v="29794.04"/>
    <n v="0"/>
    <m/>
    <n v="0"/>
    <n v="29794.04"/>
    <n v="0"/>
    <m/>
    <n v="0"/>
  </r>
  <r>
    <x v="142"/>
    <s v="Caisse d'Épargne"/>
    <d v="2014-12-31T00:00:00"/>
    <d v="2034-12-31T00:00:00"/>
    <n v="20"/>
    <s v="Fixe"/>
    <s v="Non_st"/>
    <x v="13"/>
    <n v="0"/>
    <m/>
    <m/>
    <m/>
    <m/>
    <m/>
    <m/>
    <m/>
    <m/>
    <m/>
    <m/>
    <m/>
    <m/>
    <s v=""/>
    <m/>
    <n v="0"/>
  </r>
  <r>
    <x v="13"/>
    <s v="Crédit Mutuel"/>
    <d v="1999-12-01T00:00:00"/>
    <d v="2014-11-30T00:00:00"/>
    <n v="15"/>
    <s v="Fixe à phase"/>
    <s v="Non_st"/>
    <x v="14"/>
    <n v="1"/>
    <m/>
    <m/>
    <m/>
    <m/>
    <m/>
    <n v="0"/>
    <n v="2.87E-2"/>
    <n v="4289.68"/>
    <n v="149726.96"/>
    <m/>
    <m/>
    <n v="154016.63999999998"/>
    <n v="0"/>
    <m/>
    <n v="0"/>
  </r>
  <r>
    <x v="12"/>
    <s v="Crédit Mutuel"/>
    <d v="2001-02-28T00:00:00"/>
    <d v="2016-02-29T00:00:00"/>
    <n v="15"/>
    <s v="Fixe"/>
    <s v="Non_st"/>
    <x v="14"/>
    <n v="1"/>
    <m/>
    <m/>
    <d v="2002-02-28T00:00:00"/>
    <d v="2004-02-28T00:00:00"/>
    <m/>
    <n v="93815"/>
    <n v="1.6999999999999999E-3"/>
    <n v="9189.11"/>
    <n v="46967.39"/>
    <m/>
    <n v="2204.5700000000002"/>
    <n v="56156.5"/>
    <n v="0"/>
    <m/>
    <n v="0"/>
  </r>
  <r>
    <x v="14"/>
    <s v="CDC"/>
    <d v="2001-04-25T00:00:00"/>
    <d v="2004-04-25T00:00:00"/>
    <n v="3"/>
    <s v="Fixe"/>
    <s v="Non_st"/>
    <x v="14"/>
    <n v="1"/>
    <m/>
    <m/>
    <m/>
    <m/>
    <m/>
    <m/>
    <m/>
    <m/>
    <m/>
    <m/>
    <m/>
    <m/>
    <s v=""/>
    <m/>
    <n v="0"/>
  </r>
  <r>
    <x v="16"/>
    <s v="Dexia CL"/>
    <d v="2001-11-26T00:00:00"/>
    <d v="2006-03-01T00:00:00"/>
    <n v="20"/>
    <s v="Annulable"/>
    <s v="Struct"/>
    <x v="14"/>
    <n v="1"/>
    <m/>
    <m/>
    <m/>
    <m/>
    <m/>
    <m/>
    <m/>
    <m/>
    <m/>
    <m/>
    <m/>
    <m/>
    <s v=""/>
    <m/>
    <n v="0"/>
  </r>
  <r>
    <x v="17"/>
    <s v="CDC"/>
    <d v="2002-01-25T00:00:00"/>
    <d v="2009-01-25T00:00:00"/>
    <n v="7"/>
    <s v="Fixe"/>
    <s v="Non_st"/>
    <x v="14"/>
    <n v="1"/>
    <m/>
    <m/>
    <m/>
    <m/>
    <m/>
    <m/>
    <m/>
    <m/>
    <m/>
    <m/>
    <m/>
    <m/>
    <s v=""/>
    <m/>
    <n v="0"/>
  </r>
  <r>
    <x v="18"/>
    <s v="CDC"/>
    <d v="2002-02-01T00:00:00"/>
    <d v="2022-02-01T00:00:00"/>
    <n v="20"/>
    <s v="Livret A"/>
    <s v="Livr_A"/>
    <x v="14"/>
    <n v="1"/>
    <m/>
    <m/>
    <d v="2003-02-01T00:00:00"/>
    <d v="2003-02-01T00:00:00"/>
    <n v="2137796"/>
    <n v="979687"/>
    <n v="1.29E-2"/>
    <n v="19125.07"/>
    <n v="113174.66"/>
    <m/>
    <n v="11172.45"/>
    <n v="132299.73000000001"/>
    <n v="0"/>
    <m/>
    <n v="0"/>
  </r>
  <r>
    <x v="19"/>
    <s v="CDC"/>
    <d v="2002-04-01T00:00:00"/>
    <d v="2022-04-01T00:00:00"/>
    <n v="20"/>
    <s v="Livret A"/>
    <s v="Livr_A"/>
    <x v="14"/>
    <n v="1"/>
    <m/>
    <m/>
    <m/>
    <m/>
    <m/>
    <m/>
    <m/>
    <m/>
    <m/>
    <m/>
    <m/>
    <m/>
    <s v=""/>
    <m/>
    <n v="0"/>
  </r>
  <r>
    <x v="20"/>
    <s v="Crédit Agricole"/>
    <d v="2002-04-15T00:00:00"/>
    <d v="2017-04-18T00:00:00"/>
    <n v="15"/>
    <s v="Barrière hors zone EUR"/>
    <s v="Struct"/>
    <x v="14"/>
    <n v="1"/>
    <m/>
    <m/>
    <d v="2003-04-15T00:00:00"/>
    <d v="2003-04-15T00:00:00"/>
    <m/>
    <n v="3185903"/>
    <n v="1.6999999999999999E-3"/>
    <n v="9189.11"/>
    <n v="990967.27"/>
    <m/>
    <n v="3404.11"/>
    <n v="1000156.38"/>
    <n v="0"/>
    <m/>
    <n v="0"/>
  </r>
  <r>
    <x v="21"/>
    <s v="Dexia CL"/>
    <d v="2002-05-01T00:00:00"/>
    <d v="2004-04-10T00:00:00"/>
    <n v="17"/>
    <s v="Barrière"/>
    <s v="Struct"/>
    <x v="14"/>
    <n v="1"/>
    <m/>
    <m/>
    <m/>
    <m/>
    <m/>
    <m/>
    <m/>
    <m/>
    <m/>
    <m/>
    <m/>
    <m/>
    <s v=""/>
    <m/>
    <n v="0"/>
  </r>
  <r>
    <x v="22"/>
    <s v="Dexia CL"/>
    <d v="2002-05-01T00:00:00"/>
    <d v="2005-07-01T00:00:00"/>
    <n v="19.25"/>
    <s v="Barrière hors zone EUR"/>
    <s v="Struct"/>
    <x v="14"/>
    <n v="1"/>
    <m/>
    <m/>
    <m/>
    <m/>
    <m/>
    <m/>
    <m/>
    <m/>
    <m/>
    <m/>
    <m/>
    <m/>
    <s v=""/>
    <m/>
    <n v="0"/>
  </r>
  <r>
    <x v="23"/>
    <s v="Dexia CL"/>
    <d v="2002-05-01T00:00:00"/>
    <d v="2004-04-10T00:00:00"/>
    <n v="19.25"/>
    <s v="Barrière hors zone EUR"/>
    <s v="Struct"/>
    <x v="14"/>
    <n v="1"/>
    <m/>
    <m/>
    <m/>
    <m/>
    <m/>
    <m/>
    <m/>
    <m/>
    <m/>
    <m/>
    <m/>
    <m/>
    <s v=""/>
    <m/>
    <n v="0"/>
  </r>
  <r>
    <x v="25"/>
    <s v="Dexia CL"/>
    <d v="2002-05-01T00:00:00"/>
    <d v="2004-07-25T00:00:00"/>
    <n v="8"/>
    <s v="Variable hors zone EUR"/>
    <s v="Struct"/>
    <x v="14"/>
    <n v="1"/>
    <m/>
    <m/>
    <m/>
    <m/>
    <m/>
    <m/>
    <m/>
    <m/>
    <m/>
    <m/>
    <m/>
    <m/>
    <s v=""/>
    <m/>
    <n v="0"/>
  </r>
  <r>
    <x v="26"/>
    <s v="CDC"/>
    <d v="2002-10-01T00:00:00"/>
    <d v="2002-10-01T00:00:00"/>
    <n v="20"/>
    <s v="Livret A"/>
    <s v="Livr_A"/>
    <x v="14"/>
    <n v="1"/>
    <m/>
    <m/>
    <m/>
    <m/>
    <m/>
    <m/>
    <m/>
    <m/>
    <m/>
    <m/>
    <m/>
    <m/>
    <s v=""/>
    <m/>
    <n v="0"/>
  </r>
  <r>
    <x v="27"/>
    <s v="Dexia CL"/>
    <d v="2002-10-04T00:00:00"/>
    <d v="2004-07-25T00:00:00"/>
    <n v="20"/>
    <s v="Fixe"/>
    <s v="Non_st"/>
    <x v="14"/>
    <n v="1"/>
    <m/>
    <m/>
    <m/>
    <m/>
    <m/>
    <m/>
    <m/>
    <m/>
    <m/>
    <m/>
    <m/>
    <m/>
    <s v=""/>
    <m/>
    <n v="0"/>
  </r>
  <r>
    <x v="28"/>
    <s v="CDC"/>
    <d v="2002-12-31T00:00:00"/>
    <d v="2023-01-01T00:00:00"/>
    <n v="20"/>
    <s v="Livret A"/>
    <s v="Livr_A"/>
    <x v="14"/>
    <n v="1"/>
    <m/>
    <m/>
    <m/>
    <m/>
    <m/>
    <m/>
    <m/>
    <m/>
    <m/>
    <m/>
    <m/>
    <m/>
    <s v=""/>
    <m/>
    <n v="0"/>
  </r>
  <r>
    <x v="31"/>
    <s v="Dexia CL"/>
    <d v="2003-03-01T00:00:00"/>
    <d v="2005-04-01T00:00:00"/>
    <n v="15"/>
    <s v="Barrière"/>
    <s v="Struct"/>
    <x v="14"/>
    <n v="1"/>
    <m/>
    <m/>
    <m/>
    <m/>
    <m/>
    <m/>
    <m/>
    <m/>
    <m/>
    <m/>
    <m/>
    <m/>
    <s v=""/>
    <m/>
    <n v="0"/>
  </r>
  <r>
    <x v="32"/>
    <s v="Dexia CL"/>
    <d v="2003-05-01T00:00:00"/>
    <d v="2005-04-01T00:00:00"/>
    <n v="8"/>
    <s v="Barrière"/>
    <s v="Struct"/>
    <x v="14"/>
    <n v="1"/>
    <m/>
    <m/>
    <m/>
    <m/>
    <m/>
    <m/>
    <m/>
    <m/>
    <m/>
    <m/>
    <m/>
    <m/>
    <s v=""/>
    <m/>
    <n v="0"/>
  </r>
  <r>
    <x v="34"/>
    <s v="Dexia CL"/>
    <d v="2003-05-31T00:00:00"/>
    <d v="2005-04-01T00:00:00"/>
    <n v="20"/>
    <s v="Barrière"/>
    <s v="Struct"/>
    <x v="14"/>
    <n v="1"/>
    <m/>
    <m/>
    <m/>
    <m/>
    <m/>
    <m/>
    <m/>
    <m/>
    <m/>
    <m/>
    <m/>
    <m/>
    <s v=""/>
    <m/>
    <n v="0"/>
  </r>
  <r>
    <x v="35"/>
    <s v="Caisse d'Épargne"/>
    <d v="2003-07-01T00:00:00"/>
    <d v="2006-02-25T00:00:00"/>
    <n v="20"/>
    <s v="Barrière hors zone EUR"/>
    <s v="Struct"/>
    <x v="14"/>
    <n v="1"/>
    <m/>
    <m/>
    <m/>
    <m/>
    <m/>
    <m/>
    <m/>
    <m/>
    <m/>
    <m/>
    <m/>
    <m/>
    <s v=""/>
    <m/>
    <n v="0"/>
  </r>
  <r>
    <x v="37"/>
    <s v="Caisse d'Épargne"/>
    <d v="2003-09-01T00:00:00"/>
    <d v="2006-09-01T00:00:00"/>
    <n v="3"/>
    <s v="Fixe"/>
    <s v="Non_st"/>
    <x v="14"/>
    <n v="1"/>
    <m/>
    <m/>
    <m/>
    <m/>
    <m/>
    <m/>
    <m/>
    <m/>
    <m/>
    <m/>
    <m/>
    <m/>
    <s v=""/>
    <m/>
    <n v="0"/>
  </r>
  <r>
    <x v="38"/>
    <s v="Caisse d'Épargne"/>
    <d v="2004-02-05T00:00:00"/>
    <d v="2011-06-25T00:00:00"/>
    <n v="7"/>
    <s v="Fixe"/>
    <s v="Non_st"/>
    <x v="14"/>
    <n v="1"/>
    <m/>
    <m/>
    <m/>
    <m/>
    <m/>
    <m/>
    <m/>
    <m/>
    <m/>
    <m/>
    <m/>
    <m/>
    <s v=""/>
    <m/>
    <n v="0"/>
  </r>
  <r>
    <x v="39"/>
    <s v="Dexia CL"/>
    <d v="2004-03-31T00:00:00"/>
    <d v="2007-04-01T00:00:00"/>
    <n v="3"/>
    <s v="Fixe"/>
    <s v="Non_st"/>
    <x v="14"/>
    <n v="1"/>
    <m/>
    <m/>
    <m/>
    <m/>
    <m/>
    <m/>
    <m/>
    <m/>
    <m/>
    <m/>
    <m/>
    <m/>
    <s v=""/>
    <m/>
    <n v="0"/>
  </r>
  <r>
    <x v="40"/>
    <s v="Dexia CL"/>
    <d v="2004-04-10T00:00:00"/>
    <d v="2005-12-01T00:00:00"/>
    <n v="17.75"/>
    <s v="Barrière avec multiplicateur"/>
    <s v="Struct"/>
    <x v="14"/>
    <n v="1"/>
    <m/>
    <m/>
    <m/>
    <m/>
    <m/>
    <m/>
    <m/>
    <m/>
    <m/>
    <m/>
    <m/>
    <m/>
    <s v=""/>
    <m/>
    <n v="0"/>
  </r>
  <r>
    <x v="41"/>
    <s v="Dexia CL"/>
    <d v="2004-04-10T00:00:00"/>
    <d v="2005-07-01T00:00:00"/>
    <n v="15"/>
    <s v="Barrière hors zone EUR"/>
    <s v="Struct"/>
    <x v="14"/>
    <n v="1"/>
    <m/>
    <m/>
    <m/>
    <m/>
    <m/>
    <m/>
    <m/>
    <m/>
    <m/>
    <m/>
    <m/>
    <m/>
    <s v=""/>
    <m/>
    <n v="0"/>
  </r>
  <r>
    <x v="42"/>
    <s v="Dexia CL"/>
    <d v="2004-04-15T00:00:00"/>
    <d v="2005-04-01T00:00:00"/>
    <n v="15"/>
    <s v="Variable hors zone EUR"/>
    <s v="Struct"/>
    <x v="14"/>
    <n v="1"/>
    <m/>
    <m/>
    <m/>
    <m/>
    <m/>
    <m/>
    <m/>
    <m/>
    <m/>
    <m/>
    <m/>
    <m/>
    <s v=""/>
    <m/>
    <n v="0"/>
  </r>
  <r>
    <x v="43"/>
    <s v="Dexia CL"/>
    <d v="2004-04-29T00:00:00"/>
    <d v="2007-05-01T00:00:00"/>
    <n v="21"/>
    <s v="Barrière"/>
    <s v="Struct"/>
    <x v="14"/>
    <n v="1"/>
    <m/>
    <m/>
    <m/>
    <m/>
    <m/>
    <m/>
    <m/>
    <m/>
    <m/>
    <m/>
    <m/>
    <m/>
    <s v=""/>
    <m/>
    <n v="0"/>
  </r>
  <r>
    <x v="44"/>
    <s v="Dexia CL"/>
    <d v="2004-06-15T00:00:00"/>
    <d v="2005-02-01T00:00:00"/>
    <n v="10"/>
    <s v="Change"/>
    <s v="Struct"/>
    <x v="14"/>
    <n v="1"/>
    <m/>
    <m/>
    <m/>
    <m/>
    <m/>
    <m/>
    <m/>
    <m/>
    <m/>
    <m/>
    <m/>
    <m/>
    <s v=""/>
    <m/>
    <n v="0"/>
  </r>
  <r>
    <x v="45"/>
    <s v="Dexia CL"/>
    <d v="2004-07-25T00:00:00"/>
    <d v="2006-03-01T00:00:00"/>
    <n v="18"/>
    <s v="Pente"/>
    <s v="Struct"/>
    <x v="14"/>
    <n v="1"/>
    <m/>
    <m/>
    <m/>
    <m/>
    <m/>
    <m/>
    <m/>
    <m/>
    <m/>
    <m/>
    <m/>
    <m/>
    <s v=""/>
    <m/>
    <n v="0"/>
  </r>
  <r>
    <x v="47"/>
    <s v="Dexia CL"/>
    <d v="2005-02-23T00:00:00"/>
    <d v="2007-02-01T00:00:00"/>
    <n v="17"/>
    <s v="Barrière avec multiplicateur"/>
    <s v="Struct"/>
    <x v="14"/>
    <n v="1"/>
    <m/>
    <m/>
    <m/>
    <m/>
    <m/>
    <m/>
    <m/>
    <m/>
    <m/>
    <m/>
    <m/>
    <m/>
    <s v=""/>
    <m/>
    <n v="0"/>
  </r>
  <r>
    <x v="48"/>
    <s v="Dexia CL"/>
    <d v="2005-02-23T00:00:00"/>
    <d v="2007-05-01T00:00:00"/>
    <n v="15"/>
    <s v="Variable hors zone EUR"/>
    <s v="Struct"/>
    <x v="14"/>
    <n v="1"/>
    <m/>
    <m/>
    <m/>
    <m/>
    <m/>
    <m/>
    <m/>
    <m/>
    <m/>
    <m/>
    <m/>
    <m/>
    <s v=""/>
    <m/>
    <n v="0"/>
  </r>
  <r>
    <x v="49"/>
    <s v="Crédit Mutuel"/>
    <d v="2005-03-24T00:00:00"/>
    <d v="2010-03-23T00:00:00"/>
    <n v="5"/>
    <s v="Fixe"/>
    <s v="Non_st"/>
    <x v="14"/>
    <n v="1"/>
    <m/>
    <m/>
    <m/>
    <m/>
    <m/>
    <m/>
    <m/>
    <m/>
    <m/>
    <m/>
    <m/>
    <m/>
    <s v=""/>
    <m/>
    <n v="0"/>
  </r>
  <r>
    <x v="50"/>
    <s v="Dexia CL"/>
    <d v="2005-04-01T00:00:00"/>
    <d v="2006-07-01T00:00:00"/>
    <n v="19"/>
    <s v="Change"/>
    <s v="Struct"/>
    <x v="14"/>
    <n v="1"/>
    <m/>
    <m/>
    <m/>
    <m/>
    <m/>
    <m/>
    <m/>
    <m/>
    <m/>
    <m/>
    <m/>
    <m/>
    <s v=""/>
    <m/>
    <n v="0"/>
  </r>
  <r>
    <x v="51"/>
    <s v="Dexia CL"/>
    <d v="2005-04-01T00:00:00"/>
    <d v="2007-05-01T00:00:00"/>
    <n v="15"/>
    <s v="Change"/>
    <s v="Struct"/>
    <x v="14"/>
    <n v="1"/>
    <m/>
    <m/>
    <m/>
    <m/>
    <m/>
    <m/>
    <m/>
    <m/>
    <m/>
    <m/>
    <m/>
    <m/>
    <s v=""/>
    <m/>
    <n v="0"/>
  </r>
  <r>
    <x v="52"/>
    <s v="CDC"/>
    <d v="2005-05-01T00:00:00"/>
    <d v="2011-04-30T00:00:00"/>
    <n v="6"/>
    <s v="Variable"/>
    <s v="Non_st"/>
    <x v="14"/>
    <n v="1"/>
    <m/>
    <m/>
    <m/>
    <m/>
    <m/>
    <m/>
    <m/>
    <m/>
    <m/>
    <m/>
    <m/>
    <m/>
    <s v=""/>
    <m/>
    <n v="0"/>
  </r>
  <r>
    <x v="53"/>
    <s v="CDC"/>
    <d v="2005-05-01T00:00:00"/>
    <d v="2013-04-29T00:00:00"/>
    <n v="8"/>
    <s v="Variable"/>
    <s v="Non_st"/>
    <x v="14"/>
    <n v="1"/>
    <m/>
    <m/>
    <m/>
    <m/>
    <m/>
    <m/>
    <m/>
    <m/>
    <m/>
    <m/>
    <m/>
    <m/>
    <s v=""/>
    <m/>
    <n v="0"/>
  </r>
  <r>
    <x v="54"/>
    <s v="Dexia CL"/>
    <d v="2005-06-01T00:00:00"/>
    <d v="2006-03-29T00:00:00"/>
    <n v="17.25"/>
    <s v="Change"/>
    <s v="Struct"/>
    <x v="14"/>
    <n v="1"/>
    <m/>
    <m/>
    <m/>
    <m/>
    <m/>
    <m/>
    <m/>
    <m/>
    <m/>
    <m/>
    <m/>
    <m/>
    <s v=""/>
    <m/>
    <n v="0"/>
  </r>
  <r>
    <x v="55"/>
    <s v="Dexia CL"/>
    <d v="2005-07-01T00:00:00"/>
    <d v="2006-07-01T00:00:00"/>
    <n v="16"/>
    <s v="Pente"/>
    <s v="Struct"/>
    <x v="14"/>
    <n v="1"/>
    <m/>
    <m/>
    <m/>
    <m/>
    <m/>
    <m/>
    <m/>
    <m/>
    <m/>
    <m/>
    <m/>
    <m/>
    <s v=""/>
    <m/>
    <n v="0"/>
  </r>
  <r>
    <x v="56"/>
    <s v="Dexia CL"/>
    <d v="2005-12-01T00:00:00"/>
    <d v="2006-03-29T00:00:00"/>
    <n v="16"/>
    <s v="Pente"/>
    <s v="Struct"/>
    <x v="14"/>
    <n v="1"/>
    <m/>
    <m/>
    <m/>
    <m/>
    <m/>
    <m/>
    <m/>
    <m/>
    <m/>
    <m/>
    <m/>
    <m/>
    <s v=""/>
    <m/>
    <n v="0"/>
  </r>
  <r>
    <x v="57"/>
    <s v="Dexia CL"/>
    <d v="2005-12-23T00:00:00"/>
    <d v="2007-05-01T00:00:00"/>
    <n v="18.170000000000002"/>
    <s v="Pente"/>
    <s v="Struct"/>
    <x v="14"/>
    <n v="1"/>
    <m/>
    <m/>
    <m/>
    <m/>
    <m/>
    <m/>
    <m/>
    <m/>
    <m/>
    <m/>
    <m/>
    <m/>
    <s v=""/>
    <m/>
    <n v="0"/>
  </r>
  <r>
    <x v="60"/>
    <s v="Crédit Agricole"/>
    <d v="2006-03-06T00:00:00"/>
    <d v="2021-03-02T00:00:00"/>
    <n v="15"/>
    <s v="Barrière"/>
    <s v="Struct"/>
    <x v="14"/>
    <n v="1"/>
    <m/>
    <m/>
    <m/>
    <m/>
    <m/>
    <m/>
    <m/>
    <m/>
    <m/>
    <m/>
    <m/>
    <m/>
    <s v=""/>
    <m/>
    <n v="0"/>
  </r>
  <r>
    <x v="61"/>
    <s v="Crédit Agricole"/>
    <d v="2006-03-06T00:00:00"/>
    <d v="2021-03-06T00:00:00"/>
    <n v="15"/>
    <s v="Fixe"/>
    <s v="Non_st"/>
    <x v="14"/>
    <n v="1"/>
    <m/>
    <m/>
    <m/>
    <m/>
    <m/>
    <n v="2665234"/>
    <n v="3.6200000000000003E-2"/>
    <n v="204959.94"/>
    <n v="329431.59000000003"/>
    <n v="-108406.91"/>
    <n v="79299.850000000006"/>
    <n v="425984.62"/>
    <n v="0"/>
    <m/>
    <n v="0"/>
  </r>
  <r>
    <x v="63"/>
    <s v="Dexia CL"/>
    <d v="2006-07-01T00:00:00"/>
    <d v="2011-07-13T00:00:00"/>
    <n v="20"/>
    <s v="Change"/>
    <s v="Struct"/>
    <x v="14"/>
    <n v="1"/>
    <m/>
    <m/>
    <m/>
    <m/>
    <m/>
    <m/>
    <m/>
    <m/>
    <m/>
    <m/>
    <m/>
    <m/>
    <s v=""/>
    <m/>
    <n v="0"/>
  </r>
  <r>
    <x v="65"/>
    <s v="Dexia CL"/>
    <d v="2006-10-01T00:00:00"/>
    <d v="2009-10-01T00:00:00"/>
    <n v="19"/>
    <s v="Change"/>
    <s v="Struct"/>
    <x v="14"/>
    <n v="1"/>
    <m/>
    <m/>
    <m/>
    <m/>
    <m/>
    <m/>
    <m/>
    <m/>
    <m/>
    <m/>
    <m/>
    <m/>
    <s v=""/>
    <m/>
    <n v="0"/>
  </r>
  <r>
    <x v="66"/>
    <s v="Dexia CL"/>
    <d v="2006-10-01T00:00:00"/>
    <d v="2008-12-01T00:00:00"/>
    <n v="19.170000000000002"/>
    <s v="Change"/>
    <s v="Struct"/>
    <x v="14"/>
    <n v="1"/>
    <m/>
    <m/>
    <m/>
    <m/>
    <m/>
    <m/>
    <m/>
    <m/>
    <m/>
    <m/>
    <m/>
    <m/>
    <s v=""/>
    <m/>
    <n v="0"/>
  </r>
  <r>
    <x v="72"/>
    <s v="Dexia CL"/>
    <d v="2007-02-01T00:00:00"/>
    <d v="2008-08-08T00:00:00"/>
    <n v="18.75"/>
    <s v="Change"/>
    <s v="Struct"/>
    <x v="14"/>
    <n v="1"/>
    <m/>
    <m/>
    <m/>
    <m/>
    <m/>
    <m/>
    <m/>
    <m/>
    <m/>
    <m/>
    <m/>
    <m/>
    <s v=""/>
    <m/>
    <n v="0"/>
  </r>
  <r>
    <x v="73"/>
    <s v="Crédit Agricole"/>
    <d v="2007-04-10T00:00:00"/>
    <d v="2028-03-01T00:00:00"/>
    <n v="20"/>
    <s v="Pente"/>
    <s v="Struct"/>
    <x v="14"/>
    <n v="1"/>
    <m/>
    <m/>
    <m/>
    <m/>
    <m/>
    <n v="3762542"/>
    <n v="3.5400000000000001E-2"/>
    <n v="137746.48000000001"/>
    <n v="206612.06"/>
    <m/>
    <n v="10974.08"/>
    <n v="344358.54000000004"/>
    <n v="0"/>
    <m/>
    <n v="0"/>
  </r>
  <r>
    <x v="74"/>
    <s v="Dexia CL"/>
    <d v="2007-05-01T00:00:00"/>
    <d v="2009-12-29T00:00:00"/>
    <n v="17"/>
    <s v="Courbes"/>
    <s v="Struct"/>
    <x v="14"/>
    <n v="1"/>
    <m/>
    <m/>
    <m/>
    <m/>
    <m/>
    <m/>
    <m/>
    <m/>
    <m/>
    <m/>
    <m/>
    <m/>
    <s v=""/>
    <m/>
    <n v="0"/>
  </r>
  <r>
    <x v="75"/>
    <s v="Dexia CL"/>
    <d v="2007-05-01T00:00:00"/>
    <d v="2009-12-29T00:00:00"/>
    <n v="16.920000000000002"/>
    <s v="Écart d'inflation"/>
    <s v="Struct"/>
    <x v="14"/>
    <n v="1"/>
    <m/>
    <m/>
    <m/>
    <m/>
    <m/>
    <m/>
    <m/>
    <m/>
    <m/>
    <m/>
    <m/>
    <m/>
    <s v=""/>
    <m/>
    <n v="0"/>
  </r>
  <r>
    <x v="76"/>
    <s v="Société générale"/>
    <d v="2007-05-24T00:00:00"/>
    <d v="2009-04-01T00:00:00"/>
    <n v="19"/>
    <s v="Change"/>
    <s v="Struct"/>
    <x v="14"/>
    <n v="1"/>
    <m/>
    <m/>
    <m/>
    <m/>
    <m/>
    <m/>
    <m/>
    <m/>
    <m/>
    <m/>
    <m/>
    <m/>
    <s v=""/>
    <m/>
    <n v="0"/>
  </r>
  <r>
    <x v="77"/>
    <s v="Caisse d'Épargne"/>
    <d v="2007-07-25T00:00:00"/>
    <d v="2012-02-25T00:00:00"/>
    <n v="18.579999999999998"/>
    <s v="Courbes"/>
    <s v="Struct"/>
    <x v="14"/>
    <n v="1"/>
    <m/>
    <m/>
    <m/>
    <m/>
    <m/>
    <m/>
    <m/>
    <m/>
    <m/>
    <m/>
    <m/>
    <m/>
    <s v=""/>
    <m/>
    <n v="0"/>
  </r>
  <r>
    <x v="80"/>
    <s v="Dexia CL"/>
    <d v="2007-09-25T00:00:00"/>
    <d v="2010-01-01T00:00:00"/>
    <n v="25.42"/>
    <s v="Barrière avec multiplicateur"/>
    <s v="Struct"/>
    <x v="14"/>
    <n v="1"/>
    <m/>
    <m/>
    <m/>
    <m/>
    <m/>
    <m/>
    <m/>
    <m/>
    <m/>
    <m/>
    <m/>
    <m/>
    <s v=""/>
    <m/>
    <n v="0"/>
  </r>
  <r>
    <x v="82"/>
    <s v="Caisse d'Épargne"/>
    <d v="2007-12-31T00:00:00"/>
    <d v="2013-02-25T00:00:00"/>
    <n v="20"/>
    <s v="Courbes"/>
    <s v="Struct"/>
    <x v="14"/>
    <n v="1"/>
    <m/>
    <m/>
    <m/>
    <m/>
    <m/>
    <m/>
    <m/>
    <m/>
    <m/>
    <m/>
    <m/>
    <m/>
    <s v=""/>
    <m/>
    <n v="0"/>
  </r>
  <r>
    <x v="86"/>
    <s v="Dexia CL"/>
    <d v="2009-12-29T00:00:00"/>
    <d v="2010-05-01T00:00:00"/>
    <n v="20.83"/>
    <s v="Courbes"/>
    <s v="Struct"/>
    <x v="14"/>
    <n v="1"/>
    <m/>
    <m/>
    <m/>
    <m/>
    <m/>
    <m/>
    <m/>
    <m/>
    <m/>
    <m/>
    <m/>
    <m/>
    <s v=""/>
    <m/>
    <n v="0"/>
  </r>
  <r>
    <x v="87"/>
    <s v="Dexia CL"/>
    <d v="2008-08-08T00:00:00"/>
    <d v="2011-11-01T00:00:00"/>
    <n v="25.33"/>
    <s v="Change"/>
    <s v="Struct"/>
    <x v="14"/>
    <n v="1"/>
    <m/>
    <m/>
    <m/>
    <m/>
    <m/>
    <m/>
    <m/>
    <m/>
    <m/>
    <m/>
    <m/>
    <m/>
    <s v=""/>
    <m/>
    <n v="0"/>
  </r>
  <r>
    <x v="88"/>
    <s v="Dexia CL"/>
    <d v="2008-08-08T00:00:00"/>
    <d v="2012-11-01T00:00:00"/>
    <n v="25.33"/>
    <s v="Change"/>
    <s v="Struct"/>
    <x v="14"/>
    <n v="1"/>
    <m/>
    <m/>
    <m/>
    <m/>
    <m/>
    <m/>
    <m/>
    <m/>
    <m/>
    <m/>
    <m/>
    <m/>
    <s v=""/>
    <m/>
    <n v="0"/>
  </r>
  <r>
    <x v="89"/>
    <s v="Dexia CL"/>
    <d v="2012-11-01T00:00:00"/>
    <d v="2017-11-01T00:00:00"/>
    <n v="25"/>
    <s v="Change"/>
    <s v="Struct"/>
    <x v="14"/>
    <n v="1"/>
    <m/>
    <m/>
    <m/>
    <m/>
    <m/>
    <n v="8288093"/>
    <n v="2.9899999999999999E-2"/>
    <n v="256491.86"/>
    <n v="258470.18"/>
    <m/>
    <n v="40887.93"/>
    <n v="514962.04"/>
    <n v="0"/>
    <m/>
    <n v="0"/>
  </r>
  <r>
    <x v="90"/>
    <s v="Dexia CL"/>
    <d v="2008-12-01T00:00:00"/>
    <d v="2010-12-01T00:00:00"/>
    <n v="17"/>
    <s v="Change"/>
    <s v="Struct"/>
    <x v="14"/>
    <n v="1"/>
    <m/>
    <m/>
    <m/>
    <m/>
    <m/>
    <m/>
    <m/>
    <m/>
    <m/>
    <m/>
    <m/>
    <m/>
    <s v=""/>
    <m/>
    <n v="0"/>
  </r>
  <r>
    <x v="91"/>
    <s v="Dexia CL"/>
    <d v="2008-12-01T00:00:00"/>
    <d v="2012-12-01T00:00:00"/>
    <n v="25"/>
    <s v="Pente"/>
    <s v="Struct"/>
    <x v="14"/>
    <n v="1"/>
    <m/>
    <m/>
    <m/>
    <m/>
    <m/>
    <m/>
    <m/>
    <m/>
    <m/>
    <m/>
    <m/>
    <m/>
    <s v=""/>
    <m/>
    <n v="0"/>
  </r>
  <r>
    <x v="93"/>
    <s v="Dexia CL"/>
    <d v="2009-03-27T00:00:00"/>
    <d v="2029-04-01T00:00:00"/>
    <n v="20"/>
    <s v="Fixe"/>
    <s v="Non_st"/>
    <x v="14"/>
    <n v="1"/>
    <m/>
    <m/>
    <m/>
    <m/>
    <m/>
    <n v="4841162"/>
    <n v="4.53E-2"/>
    <n v="226525.54"/>
    <n v="232350.45"/>
    <m/>
    <n v="54823.47"/>
    <n v="458875.99"/>
    <n v="0"/>
    <m/>
    <n v="0"/>
  </r>
  <r>
    <x v="94"/>
    <s v="Société générale"/>
    <d v="2009-04-01T00:00:00"/>
    <d v="2010-10-01T00:00:00"/>
    <n v="18"/>
    <s v="Change"/>
    <s v="Struct"/>
    <x v="14"/>
    <n v="1"/>
    <m/>
    <m/>
    <m/>
    <m/>
    <m/>
    <m/>
    <m/>
    <m/>
    <m/>
    <m/>
    <m/>
    <m/>
    <s v=""/>
    <m/>
    <n v="0"/>
  </r>
  <r>
    <x v="95"/>
    <s v="Dexia CL"/>
    <d v="2009-10-01T00:00:00"/>
    <d v="2010-10-01T00:00:00"/>
    <n v="16"/>
    <s v="Change"/>
    <s v="Struct"/>
    <x v="14"/>
    <n v="1"/>
    <m/>
    <m/>
    <m/>
    <m/>
    <m/>
    <m/>
    <m/>
    <m/>
    <m/>
    <m/>
    <m/>
    <m/>
    <s v=""/>
    <m/>
    <n v="0"/>
  </r>
  <r>
    <x v="98"/>
    <s v="Dexia CL"/>
    <d v="2009-11-01T00:00:00"/>
    <d v="2017-11-01T00:00:00"/>
    <n v="23"/>
    <s v="Pente"/>
    <s v="Struct"/>
    <x v="14"/>
    <n v="1"/>
    <m/>
    <m/>
    <m/>
    <m/>
    <m/>
    <n v="11015179"/>
    <n v="3.78E-2"/>
    <n v="433481.03"/>
    <n v="416450.18"/>
    <m/>
    <n v="68661.279999999999"/>
    <n v="849931.21"/>
    <n v="0"/>
    <m/>
    <n v="0"/>
  </r>
  <r>
    <x v="96"/>
    <s v="Dexia CL"/>
    <d v="2009-11-16T00:00:00"/>
    <d v="2011-12-01T00:00:00"/>
    <n v="25"/>
    <s v="Variable"/>
    <s v="Non_st"/>
    <x v="14"/>
    <n v="1"/>
    <m/>
    <m/>
    <m/>
    <m/>
    <m/>
    <m/>
    <m/>
    <m/>
    <m/>
    <m/>
    <m/>
    <m/>
    <s v=""/>
    <m/>
    <n v="0"/>
  </r>
  <r>
    <x v="99"/>
    <s v="Caisse d'Épargne"/>
    <d v="2009-11-25T00:00:00"/>
    <d v="2026-11-25T00:00:00"/>
    <n v="17"/>
    <s v="Fixe"/>
    <s v="Restr_sec"/>
    <x v="14"/>
    <n v="1"/>
    <m/>
    <m/>
    <m/>
    <m/>
    <m/>
    <n v="3398016"/>
    <n v="4.7500000000000001E-2"/>
    <n v="172639.18"/>
    <n v="224840.17"/>
    <m/>
    <n v="15970.68"/>
    <n v="397479.35"/>
    <n v="0"/>
    <m/>
    <n v="0"/>
  </r>
  <r>
    <x v="97"/>
    <s v="Arkea"/>
    <d v="2009-12-21T00:00:00"/>
    <d v="2030-10-30T00:00:00"/>
    <n v="20"/>
    <s v="Variable"/>
    <s v="Non_st"/>
    <x v="14"/>
    <n v="1"/>
    <m/>
    <m/>
    <m/>
    <m/>
    <m/>
    <n v="8223584"/>
    <n v="6.8999999999999999E-3"/>
    <n v="60436"/>
    <n v="453744.83"/>
    <m/>
    <n v="7336.35"/>
    <n v="514180.83"/>
    <n v="0"/>
    <m/>
    <n v="0"/>
  </r>
  <r>
    <x v="100"/>
    <s v="Société générale"/>
    <d v="2010-10-01T00:00:00"/>
    <d v="2014-01-01T00:00:00"/>
    <n v="25"/>
    <s v="Barrière avec multiplicateur"/>
    <s v="Struct"/>
    <x v="14"/>
    <n v="1"/>
    <m/>
    <m/>
    <m/>
    <m/>
    <m/>
    <n v="0"/>
    <n v="3.9899999999999998E-2"/>
    <n v="169107.07"/>
    <n v="108562.29"/>
    <m/>
    <n v="0"/>
    <n v="277669.36"/>
    <n v="0"/>
    <m/>
    <n v="4072000"/>
  </r>
  <r>
    <x v="101"/>
    <s v="Dexia CL"/>
    <d v="2010-01-01T00:00:00"/>
    <d v="2011-11-01T00:00:00"/>
    <n v="23"/>
    <s v="Barrière avec multiplicateur"/>
    <s v="Struct"/>
    <x v="14"/>
    <n v="1"/>
    <m/>
    <m/>
    <m/>
    <m/>
    <m/>
    <m/>
    <m/>
    <m/>
    <m/>
    <m/>
    <m/>
    <m/>
    <s v=""/>
    <m/>
    <n v="0"/>
  </r>
  <r>
    <x v="102"/>
    <s v="Société générale"/>
    <d v="2010-10-01T00:00:00"/>
    <d v="2014-04-01T00:00:00"/>
    <n v="25"/>
    <s v="Barrière avec multiplicateur"/>
    <s v="Struct"/>
    <x v="14"/>
    <n v="1"/>
    <m/>
    <m/>
    <m/>
    <m/>
    <m/>
    <n v="0"/>
    <n v="3.9899999999999998E-2"/>
    <n v="140983.42000000001"/>
    <n v="90507.64"/>
    <m/>
    <n v="0"/>
    <n v="231491.06"/>
    <n v="0"/>
    <m/>
    <n v="3395000"/>
  </r>
  <r>
    <x v="103"/>
    <s v="Dexia CL"/>
    <d v="2010-05-01T00:00:00"/>
    <d v="2011-07-13T00:00:00"/>
    <n v="19"/>
    <s v="Barrière avec multiplicateur"/>
    <s v="Struct"/>
    <x v="14"/>
    <n v="1"/>
    <m/>
    <m/>
    <m/>
    <m/>
    <m/>
    <m/>
    <m/>
    <m/>
    <m/>
    <m/>
    <m/>
    <m/>
    <s v=""/>
    <m/>
    <n v="0"/>
  </r>
  <r>
    <x v="104"/>
    <s v="Dexia CL"/>
    <d v="2010-10-01T00:00:00"/>
    <d v="2011-05-01T00:00:00"/>
    <n v="12"/>
    <s v="Change"/>
    <s v="Struct"/>
    <x v="14"/>
    <n v="1"/>
    <m/>
    <m/>
    <m/>
    <m/>
    <m/>
    <m/>
    <m/>
    <m/>
    <m/>
    <m/>
    <m/>
    <m/>
    <s v=""/>
    <m/>
    <n v="0"/>
  </r>
  <r>
    <x v="105"/>
    <s v="Dexia CL"/>
    <d v="2010-07-25T00:00:00"/>
    <d v="2025-09-01T00:00:00"/>
    <n v="15"/>
    <s v="Fixe"/>
    <s v="Non_st"/>
    <x v="14"/>
    <n v="1"/>
    <m/>
    <m/>
    <m/>
    <m/>
    <m/>
    <n v="561273"/>
    <n v="2.1299999999999999E-2"/>
    <n v="12627.59"/>
    <n v="45958.49"/>
    <m/>
    <n v="1000.94"/>
    <n v="58586.080000000002"/>
    <n v="0"/>
    <m/>
    <n v="0"/>
  </r>
  <r>
    <x v="106"/>
    <s v="Société générale"/>
    <d v="2010-09-01T00:00:00"/>
    <d v="2030-12-01T00:00:00"/>
    <n v="20"/>
    <s v="Fixe"/>
    <s v="Restr_sec"/>
    <x v="14"/>
    <n v="1"/>
    <m/>
    <m/>
    <m/>
    <m/>
    <m/>
    <n v="1556972"/>
    <n v="4.3799999999999999E-2"/>
    <n v="70418.91"/>
    <n v="62679.13"/>
    <m/>
    <n v="5618.07"/>
    <n v="133098.04"/>
    <n v="0"/>
    <m/>
    <n v="0"/>
  </r>
  <r>
    <x v="107"/>
    <s v="Dexia CL"/>
    <d v="2010-10-01T00:00:00"/>
    <d v="2012-05-01T00:00:00"/>
    <n v="15"/>
    <s v="Change"/>
    <s v="Struct"/>
    <x v="14"/>
    <n v="1"/>
    <m/>
    <m/>
    <m/>
    <m/>
    <m/>
    <m/>
    <m/>
    <m/>
    <m/>
    <m/>
    <m/>
    <m/>
    <s v=""/>
    <m/>
    <n v="0"/>
  </r>
  <r>
    <x v="108"/>
    <s v="Dexia CL"/>
    <d v="2010-12-01T00:00:00"/>
    <d v="2011-12-01T00:00:00"/>
    <n v="17"/>
    <s v="Change"/>
    <s v="Struct"/>
    <x v="14"/>
    <n v="1"/>
    <m/>
    <m/>
    <m/>
    <m/>
    <m/>
    <m/>
    <m/>
    <m/>
    <m/>
    <m/>
    <m/>
    <m/>
    <s v=""/>
    <m/>
    <n v="0"/>
  </r>
  <r>
    <x v="109"/>
    <s v="Société générale"/>
    <d v="2010-12-01T00:00:00"/>
    <d v="2030-12-01T00:00:00"/>
    <n v="20"/>
    <s v="Fixe"/>
    <s v="Restr_sec"/>
    <x v="14"/>
    <n v="1"/>
    <m/>
    <m/>
    <m/>
    <m/>
    <m/>
    <n v="2236906"/>
    <n v="4.3799999999999999E-2"/>
    <n v="102156.67"/>
    <n v="90051.24"/>
    <m/>
    <n v="8071.5"/>
    <n v="192207.91"/>
    <n v="0"/>
    <m/>
    <n v="0"/>
  </r>
  <r>
    <x v="83"/>
    <s v="Société générale"/>
    <d v="2010-12-18T00:00:00"/>
    <d v="2026-03-31T00:00:00"/>
    <n v="15"/>
    <s v="Variable"/>
    <s v="Non_st"/>
    <x v="14"/>
    <n v="1"/>
    <m/>
    <m/>
    <m/>
    <m/>
    <m/>
    <n v="6525794"/>
    <n v="1.11E-2"/>
    <n v="75125.7"/>
    <n v="420690.63"/>
    <m/>
    <n v="0"/>
    <n v="495816.33"/>
    <n v="0"/>
    <m/>
    <n v="0"/>
  </r>
  <r>
    <x v="110"/>
    <s v="Dexia CL"/>
    <d v="2011-04-01T00:00:00"/>
    <d v="2014-05-01T00:00:00"/>
    <n v="25"/>
    <s v="Barrière avec multiplicateur"/>
    <s v="Struct"/>
    <x v="14"/>
    <n v="1"/>
    <m/>
    <m/>
    <m/>
    <m/>
    <m/>
    <n v="0"/>
    <n v="9.7000000000000003E-3"/>
    <n v="126226.86"/>
    <n v="297167.3"/>
    <m/>
    <n v="0"/>
    <n v="423394.16"/>
    <n v="0"/>
    <m/>
    <n v="12014000"/>
  </r>
  <r>
    <x v="111"/>
    <s v="Dexia CL"/>
    <d v="2011-07-01T00:00:00"/>
    <d v="2036-05-01T00:00:00"/>
    <n v="25"/>
    <s v="Barrière avec multiplicateur"/>
    <s v="Struct"/>
    <x v="14"/>
    <n v="1"/>
    <m/>
    <m/>
    <m/>
    <m/>
    <m/>
    <n v="13587368"/>
    <n v="4.0300000000000002E-2"/>
    <n v="563260.96"/>
    <n v="336067.48"/>
    <m/>
    <n v="367447.72"/>
    <n v="899328.44"/>
    <n v="0"/>
    <m/>
    <n v="0"/>
  </r>
  <r>
    <x v="84"/>
    <s v="Dexia CL"/>
    <d v="2011-07-13T00:00:00"/>
    <d v="2016-10-01T00:00:00"/>
    <n v="15"/>
    <s v="Change"/>
    <s v="Struct"/>
    <x v="14"/>
    <n v="1"/>
    <m/>
    <m/>
    <m/>
    <m/>
    <m/>
    <n v="12008339"/>
    <n v="3.9800000000000002E-2"/>
    <n v="508402"/>
    <n v="718503.63"/>
    <m/>
    <n v="240507.01"/>
    <n v="1226905.6299999999"/>
    <n v="0"/>
    <m/>
    <n v="0"/>
  </r>
  <r>
    <x v="112"/>
    <s v="Caisse d'Épargne"/>
    <d v="2011-07-08T00:00:00"/>
    <d v="2027-05-29T00:00:00"/>
    <n v="15"/>
    <s v="Variable"/>
    <s v="Non_st"/>
    <x v="14"/>
    <n v="1"/>
    <m/>
    <m/>
    <m/>
    <m/>
    <m/>
    <n v="4402669"/>
    <n v="1.3899999999999999E-2"/>
    <n v="64400.56"/>
    <n v="247871.08"/>
    <m/>
    <n v="4940.6400000000003"/>
    <n v="312271.64"/>
    <n v="0"/>
    <m/>
    <n v="0"/>
  </r>
  <r>
    <x v="113"/>
    <s v="Caisse d'Épargne"/>
    <d v="2011-07-08T00:00:00"/>
    <d v="2027-05-29T00:00:00"/>
    <n v="15"/>
    <s v="Variable"/>
    <s v="Non_st"/>
    <x v="14"/>
    <n v="1"/>
    <m/>
    <m/>
    <m/>
    <m/>
    <m/>
    <n v="4402669"/>
    <n v="1.09E-2"/>
    <n v="50726.18"/>
    <n v="247871.08"/>
    <m/>
    <n v="3782.68"/>
    <n v="298597.26"/>
    <n v="0"/>
    <m/>
    <n v="0"/>
  </r>
  <r>
    <x v="114"/>
    <s v="Dexia CL"/>
    <d v="2011-11-01T00:00:00"/>
    <d v="2018-01-01T00:00:00"/>
    <n v="21.17"/>
    <s v="Barrière avec multiplicateur"/>
    <s v="Struct"/>
    <x v="14"/>
    <n v="1"/>
    <m/>
    <m/>
    <m/>
    <m/>
    <m/>
    <n v="8440823"/>
    <n v="3.5400000000000001E-2"/>
    <n v="309023.73"/>
    <n v="267477.38"/>
    <m/>
    <n v="298711.36"/>
    <n v="576501.11"/>
    <n v="0"/>
    <m/>
    <n v="0"/>
  </r>
  <r>
    <x v="115"/>
    <s v="Dexia CL"/>
    <d v="2011-11-01T00:00:00"/>
    <d v="2014-01-15T00:00:00"/>
    <n v="22"/>
    <s v="Change"/>
    <s v="Struct"/>
    <x v="14"/>
    <n v="1"/>
    <m/>
    <m/>
    <m/>
    <m/>
    <m/>
    <n v="0"/>
    <n v="3.2300000000000002E-2"/>
    <n v="45595.86"/>
    <n v="0"/>
    <m/>
    <n v="0"/>
    <n v="45595.86"/>
    <n v="0"/>
    <m/>
    <n v="7369000"/>
  </r>
  <r>
    <x v="116"/>
    <s v="Dexia CL"/>
    <d v="2011-12-01T00:00:00"/>
    <d v="2012-12-01T00:00:00"/>
    <n v="18"/>
    <s v="Change"/>
    <s v="Struct"/>
    <x v="14"/>
    <n v="1"/>
    <m/>
    <m/>
    <m/>
    <m/>
    <m/>
    <m/>
    <m/>
    <m/>
    <m/>
    <m/>
    <m/>
    <m/>
    <s v=""/>
    <m/>
    <n v="0"/>
  </r>
  <r>
    <x v="117"/>
    <s v="Dexia CL"/>
    <d v="2011-12-01T00:00:00"/>
    <d v="2035-12-01T00:00:00"/>
    <n v="24"/>
    <s v="Variable"/>
    <s v="Non_st"/>
    <x v="14"/>
    <n v="1"/>
    <m/>
    <m/>
    <m/>
    <m/>
    <m/>
    <n v="4291051"/>
    <n v="6.4000000000000003E-3"/>
    <n v="29000.63"/>
    <n v="180226.89"/>
    <m/>
    <n v="1736.77"/>
    <n v="209227.52000000002"/>
    <n v="0"/>
    <m/>
    <n v="0"/>
  </r>
  <r>
    <x v="118"/>
    <s v="Caisse d'Épargne"/>
    <d v="2012-01-05T00:00:00"/>
    <d v="2032-01-05T00:00:00"/>
    <n v="20"/>
    <s v="Barrière"/>
    <s v="Struct"/>
    <x v="14"/>
    <n v="1"/>
    <m/>
    <m/>
    <m/>
    <m/>
    <m/>
    <n v="6032261"/>
    <n v="4.9000000000000002E-2"/>
    <n v="308326.07"/>
    <n v="237891.64"/>
    <m/>
    <n v="292564.67"/>
    <n v="546217.71"/>
    <n v="0"/>
    <m/>
    <n v="0"/>
  </r>
  <r>
    <x v="121"/>
    <s v="Caisse d'Épargne"/>
    <d v="2012-02-25T00:00:00"/>
    <d v="2013-02-25T00:00:00"/>
    <n v="14"/>
    <s v="Courbes"/>
    <s v="Struct"/>
    <x v="14"/>
    <n v="1"/>
    <m/>
    <m/>
    <m/>
    <m/>
    <m/>
    <m/>
    <m/>
    <m/>
    <m/>
    <m/>
    <m/>
    <m/>
    <s v=""/>
    <m/>
    <n v="0"/>
  </r>
  <r>
    <x v="119"/>
    <s v="CDC"/>
    <d v="2012-03-23T00:00:00"/>
    <d v="2027-10-01T00:00:00"/>
    <n v="15.25"/>
    <s v="Variable"/>
    <s v="Non_st"/>
    <x v="14"/>
    <n v="1"/>
    <m/>
    <m/>
    <m/>
    <m/>
    <m/>
    <n v="5312500"/>
    <n v="2.23E-2"/>
    <n v="126437.11"/>
    <n v="416666.68"/>
    <m/>
    <n v="37703.65"/>
    <n v="543103.79"/>
    <n v="0"/>
    <m/>
    <n v="0"/>
  </r>
  <r>
    <x v="122"/>
    <s v="Dexia CL"/>
    <d v="2012-05-01T00:00:00"/>
    <d v="2031-10-01T00:00:00"/>
    <n v="19.420000000000002"/>
    <s v="Barrière avec multiplicateur"/>
    <s v="Struct"/>
    <x v="14"/>
    <n v="1"/>
    <m/>
    <m/>
    <m/>
    <m/>
    <m/>
    <n v="14315767"/>
    <n v="2.07E-2"/>
    <n v="314084.15000000002"/>
    <n v="527626.56000000006"/>
    <m/>
    <n v="76245.89"/>
    <n v="841710.71000000008"/>
    <n v="0"/>
    <m/>
    <n v="0"/>
  </r>
  <r>
    <x v="123"/>
    <s v="Dexia CL"/>
    <d v="2012-05-01T00:00:00"/>
    <d v="2014-05-01T00:00:00"/>
    <n v="17"/>
    <s v="Change"/>
    <s v="Struct"/>
    <x v="14"/>
    <n v="1"/>
    <m/>
    <m/>
    <m/>
    <m/>
    <m/>
    <n v="6197596"/>
    <n v="0.1739"/>
    <n v="886290.76"/>
    <n v="500000"/>
    <m/>
    <n v="210029.65"/>
    <n v="1386290.76"/>
    <n v="0"/>
    <m/>
    <n v="7000000"/>
  </r>
  <r>
    <x v="125"/>
    <s v="Dexia CL"/>
    <d v="2012-05-01T00:00:00"/>
    <d v="2013-06-01T00:00:00"/>
    <n v="15"/>
    <s v="Variable"/>
    <s v="Non_st"/>
    <x v="14"/>
    <n v="1"/>
    <m/>
    <m/>
    <m/>
    <m/>
    <m/>
    <m/>
    <m/>
    <m/>
    <m/>
    <m/>
    <m/>
    <m/>
    <s v=""/>
    <m/>
    <n v="0"/>
  </r>
  <r>
    <x v="126"/>
    <s v="Caisse d'Épargne"/>
    <d v="2012-09-15T00:00:00"/>
    <d v="2033-07-25T00:00:00"/>
    <n v="20.8"/>
    <s v="Fixe"/>
    <s v="Non_st"/>
    <x v="14"/>
    <n v="1"/>
    <m/>
    <m/>
    <m/>
    <m/>
    <m/>
    <n v="19246750"/>
    <n v="4.5100000000000001E-2"/>
    <n v="887178.34"/>
    <n v="606319.24"/>
    <m/>
    <n v="159690.01999999999"/>
    <n v="1493497.58"/>
    <n v="0"/>
    <m/>
    <n v="0"/>
  </r>
  <r>
    <x v="127"/>
    <s v="Dexia CL"/>
    <d v="2012-12-01T00:00:00"/>
    <d v="2016-11-01T00:00:00"/>
    <n v="17"/>
    <s v="Change"/>
    <s v="Struct"/>
    <x v="14"/>
    <n v="1"/>
    <m/>
    <m/>
    <m/>
    <m/>
    <m/>
    <n v="8838205"/>
    <n v="0.13689999999999999"/>
    <n v="1193521.5"/>
    <n v="390078.71"/>
    <m/>
    <n v="36825.86"/>
    <n v="1583600.21"/>
    <n v="0"/>
    <m/>
    <n v="0"/>
  </r>
  <r>
    <x v="128"/>
    <s v="Dexia CL"/>
    <d v="2012-12-01T00:00:00"/>
    <d v="2033-12-01T00:00:00"/>
    <n v="21"/>
    <s v="Fixe"/>
    <s v="Restr_sec"/>
    <x v="14"/>
    <n v="1"/>
    <m/>
    <m/>
    <m/>
    <m/>
    <m/>
    <n v="6963658"/>
    <n v="5.21E-2"/>
    <n v="398338.21"/>
    <n v="665109.46"/>
    <m/>
    <n v="29885.7"/>
    <n v="1063447.67"/>
    <n v="0"/>
    <m/>
    <n v="0"/>
  </r>
  <r>
    <x v="129"/>
    <s v="Caisse d'Épargne"/>
    <d v="2013-02-25T00:00:00"/>
    <d v="2014-02-25T00:00:00"/>
    <n v="13"/>
    <s v="Courbes"/>
    <s v="Struct"/>
    <x v="14"/>
    <n v="1"/>
    <m/>
    <m/>
    <m/>
    <m/>
    <m/>
    <m/>
    <m/>
    <m/>
    <m/>
    <m/>
    <m/>
    <m/>
    <s v=""/>
    <m/>
    <n v="10562000"/>
  </r>
  <r>
    <x v="130"/>
    <s v="Caisse d'Épargne"/>
    <d v="2013-02-25T00:00:00"/>
    <d v="2033-02-25T00:00:00"/>
    <n v="20"/>
    <s v="Fixe"/>
    <s v="Restr_sec"/>
    <x v="14"/>
    <n v="1"/>
    <m/>
    <m/>
    <m/>
    <m/>
    <m/>
    <n v="3835537"/>
    <n v="4.4900000000000002E-2"/>
    <n v="176157.01"/>
    <n v="125926.97"/>
    <m/>
    <n v="17023.48"/>
    <n v="302083.98"/>
    <n v="0"/>
    <m/>
    <n v="0"/>
  </r>
  <r>
    <x v="131"/>
    <s v="Dexia CL"/>
    <d v="2013-06-01T00:00:00"/>
    <d v="2033-06-01T00:00:00"/>
    <n v="20"/>
    <s v="Fixe"/>
    <s v="Restr_sec"/>
    <x v="14"/>
    <n v="1"/>
    <m/>
    <m/>
    <m/>
    <m/>
    <m/>
    <n v="16142272"/>
    <n v="5.04E-2"/>
    <n v="843821.14"/>
    <n v="569815.56000000006"/>
    <m/>
    <n v="475632.03"/>
    <n v="1413636.7000000002"/>
    <n v="0"/>
    <m/>
    <n v="0"/>
  </r>
  <r>
    <x v="132"/>
    <s v="Caisse d'Épargne"/>
    <d v="2013-12-31T00:00:00"/>
    <d v="2033-12-31T00:00:00"/>
    <n v="20"/>
    <s v="Fixe"/>
    <s v="Non_st"/>
    <x v="14"/>
    <n v="1"/>
    <m/>
    <m/>
    <m/>
    <m/>
    <m/>
    <n v="9500000"/>
    <n v="4.3999999999999997E-2"/>
    <n v="441041.67"/>
    <n v="500000"/>
    <m/>
    <n v="0"/>
    <n v="941041.66999999993"/>
    <n v="0"/>
    <m/>
    <n v="0"/>
  </r>
  <r>
    <x v="133"/>
    <s v="Société générale"/>
    <d v="2014-01-01T00:00:00"/>
    <d v="2035-01-01T00:00:00"/>
    <n v="21"/>
    <s v="Fixe"/>
    <s v="Restr_sec"/>
    <x v="14"/>
    <n v="1"/>
    <m/>
    <m/>
    <m/>
    <m/>
    <m/>
    <n v="4071652"/>
    <n v="4.8500000000000001E-2"/>
    <n v="0"/>
    <n v="0"/>
    <m/>
    <n v="197610.83"/>
    <n v="0"/>
    <n v="0"/>
    <m/>
    <n v="0"/>
  </r>
  <r>
    <x v="134"/>
    <s v="Dexia CL"/>
    <d v="2014-01-15T00:00:00"/>
    <d v="2033-11-01T00:00:00"/>
    <n v="19.829999999999998"/>
    <s v="Fixe"/>
    <s v="Restr_sec"/>
    <x v="14"/>
    <n v="1"/>
    <m/>
    <m/>
    <m/>
    <m/>
    <m/>
    <n v="23549083"/>
    <n v="4.6899999999999997E-2"/>
    <n v="918335.71"/>
    <n v="1019945.84"/>
    <m/>
    <n v="182112.91"/>
    <n v="1938281.5499999998"/>
    <n v="0"/>
    <m/>
    <n v="0"/>
  </r>
  <r>
    <x v="135"/>
    <s v="Caisse d'Épargne"/>
    <d v="2014-02-25T00:00:00"/>
    <d v="2018-02-25T00:00:00"/>
    <n v="5"/>
    <s v="Courbes"/>
    <s v="Struct"/>
    <x v="14"/>
    <n v="1"/>
    <m/>
    <m/>
    <m/>
    <m/>
    <m/>
    <n v="7218920"/>
    <n v="5.0599999999999999E-2"/>
    <n v="535441.41"/>
    <n v="806835.08"/>
    <m/>
    <n v="309811.98"/>
    <n v="1342276.49"/>
    <n v="0"/>
    <m/>
    <n v="0"/>
  </r>
  <r>
    <x v="136"/>
    <s v="Caisse d'Épargne"/>
    <d v="2014-02-25T00:00:00"/>
    <d v="2026-02-25T00:00:00"/>
    <n v="12"/>
    <s v="Fixe"/>
    <s v="Restr_sec"/>
    <x v="14"/>
    <n v="1"/>
    <m/>
    <m/>
    <m/>
    <m/>
    <m/>
    <n v="2536377"/>
    <n v="4.7800000000000002E-2"/>
    <n v="0"/>
    <n v="0"/>
    <m/>
    <n v="102974.79"/>
    <n v="0"/>
    <n v="0"/>
    <m/>
    <n v="0"/>
  </r>
  <r>
    <x v="137"/>
    <s v="Société générale"/>
    <d v="2014-04-01T00:00:00"/>
    <d v="2035-04-01T00:00:00"/>
    <n v="21"/>
    <s v="Fixe"/>
    <s v="Restr_sec"/>
    <x v="14"/>
    <n v="1"/>
    <m/>
    <m/>
    <m/>
    <m/>
    <m/>
    <n v="3394508"/>
    <n v="4.8500000000000001E-2"/>
    <n v="0"/>
    <n v="0"/>
    <m/>
    <n v="124012.68"/>
    <n v="0"/>
    <n v="0"/>
    <m/>
    <n v="0"/>
  </r>
  <r>
    <x v="138"/>
    <s v="Dexia CL"/>
    <d v="2014-05-01T00:00:00"/>
    <d v="2029-05-01T00:00:00"/>
    <n v="15"/>
    <s v="Fixe"/>
    <s v="Non_st"/>
    <x v="14"/>
    <n v="1"/>
    <m/>
    <m/>
    <m/>
    <m/>
    <m/>
    <n v="6000000"/>
    <n v="0.04"/>
    <n v="94063.34"/>
    <n v="0"/>
    <m/>
    <n v="161040"/>
    <n v="94063.34"/>
    <n v="0"/>
    <m/>
    <n v="0"/>
  </r>
  <r>
    <x v="139"/>
    <s v="Dexia CL"/>
    <d v="2014-05-01T00:00:00"/>
    <d v="2036-05-01T00:00:00"/>
    <n v="22"/>
    <s v="Fixe"/>
    <s v="Restr_aidé"/>
    <x v="14"/>
    <n v="1"/>
    <m/>
    <m/>
    <m/>
    <m/>
    <m/>
    <n v="37514615"/>
    <n v="4.7199999999999999E-2"/>
    <n v="0"/>
    <n v="0"/>
    <m/>
    <n v="1187420.94"/>
    <n v="0"/>
    <n v="0"/>
    <m/>
    <n v="0"/>
  </r>
  <r>
    <x v="140"/>
    <s v="Société générale"/>
    <d v="2014-06-30T00:00:00"/>
    <d v="2035-05-31T00:00:00"/>
    <n v="20"/>
    <s v="Variable"/>
    <s v="Non_st"/>
    <x v="14"/>
    <n v="1"/>
    <m/>
    <m/>
    <m/>
    <m/>
    <m/>
    <m/>
    <m/>
    <m/>
    <m/>
    <m/>
    <m/>
    <m/>
    <s v=""/>
    <m/>
    <n v="0"/>
  </r>
  <r>
    <x v="141"/>
    <s v="Caisse d'Épargne"/>
    <d v="2014-09-30T00:00:00"/>
    <d v="2034-09-30T00:00:00"/>
    <n v="20"/>
    <s v="Fixe"/>
    <s v="Non_st"/>
    <x v="14"/>
    <n v="1"/>
    <m/>
    <m/>
    <m/>
    <m/>
    <m/>
    <n v="10000000"/>
    <n v="4.3999999999999997E-2"/>
    <n v="178441.41"/>
    <n v="0"/>
    <m/>
    <n v="111166.67"/>
    <n v="178441.41"/>
    <n v="0"/>
    <m/>
    <n v="0"/>
  </r>
  <r>
    <x v="142"/>
    <s v="Caisse d'Épargne"/>
    <d v="2014-12-31T00:00:00"/>
    <d v="2034-12-31T00:00:00"/>
    <n v="20"/>
    <s v="Fixe"/>
    <s v="Non_st"/>
    <x v="14"/>
    <n v="0"/>
    <m/>
    <m/>
    <m/>
    <m/>
    <m/>
    <n v="10000000"/>
    <n v="4.24E-2"/>
    <n v="551.37"/>
    <n v="0"/>
    <m/>
    <n v="0"/>
    <n v="551.37"/>
    <n v="0"/>
    <m/>
    <n v="0"/>
  </r>
  <r>
    <x v="143"/>
    <s v="Crédit Foncier"/>
    <d v="2015-02-13T00:00:00"/>
    <d v="2030-02-13T00:00:00"/>
    <n v="15"/>
    <s v="Fixe"/>
    <s v="Non_st"/>
    <x v="14"/>
    <n v="0"/>
    <m/>
    <m/>
    <m/>
    <m/>
    <m/>
    <m/>
    <m/>
    <m/>
    <m/>
    <m/>
    <m/>
    <m/>
    <s v=""/>
    <m/>
    <n v="0"/>
  </r>
  <r>
    <x v="144"/>
    <s v="Dexia CL"/>
    <d v="2015-05-01T00:00:00"/>
    <d v="2035-05-01T00:00:00"/>
    <n v="20"/>
    <s v="Fixe"/>
    <s v="Restr_aidé"/>
    <x v="14"/>
    <n v="0"/>
    <m/>
    <m/>
    <m/>
    <m/>
    <m/>
    <m/>
    <m/>
    <m/>
    <m/>
    <m/>
    <m/>
    <m/>
    <s v=""/>
    <m/>
    <n v="0"/>
  </r>
  <r>
    <x v="145"/>
    <s v="Dexia CL"/>
    <d v="2015-12-01T00:00:00"/>
    <d v="2040-12-01T00:00:00"/>
    <n v="25"/>
    <s v="Fixe"/>
    <s v="Restr_sec"/>
    <x v="14"/>
    <n v="0"/>
    <m/>
    <m/>
    <m/>
    <m/>
    <m/>
    <m/>
    <m/>
    <m/>
    <m/>
    <m/>
    <m/>
    <m/>
    <s v=""/>
    <m/>
    <n v="0"/>
  </r>
  <r>
    <x v="12"/>
    <s v="Crédit Mutuel"/>
    <d v="2001-02-28T00:00:00"/>
    <d v="2016-02-29T00:00:00"/>
    <n v="15"/>
    <s v="Fixe"/>
    <s v="Non_st"/>
    <x v="15"/>
    <n v="1"/>
    <m/>
    <m/>
    <d v="2002-02-28T00:00:00"/>
    <d v="2004-02-28T00:00:00"/>
    <m/>
    <n v="46907"/>
    <n v="2.7900000000000001E-2"/>
    <n v="2629.63"/>
    <n v="46907.39"/>
    <m/>
    <n v="1099.27"/>
    <n v="49537.02"/>
    <n v="0"/>
    <m/>
    <n v="0"/>
  </r>
  <r>
    <x v="14"/>
    <s v="CDC"/>
    <d v="2001-04-25T00:00:00"/>
    <d v="2004-04-25T00:00:00"/>
    <n v="3"/>
    <s v="Fixe"/>
    <s v="Non_st"/>
    <x v="15"/>
    <n v="1"/>
    <m/>
    <m/>
    <m/>
    <m/>
    <m/>
    <m/>
    <m/>
    <m/>
    <m/>
    <m/>
    <m/>
    <m/>
    <s v=""/>
    <m/>
    <n v="0"/>
  </r>
  <r>
    <x v="16"/>
    <s v="Dexia CL"/>
    <d v="2001-11-26T00:00:00"/>
    <d v="2006-03-01T00:00:00"/>
    <n v="20"/>
    <s v="Annulable"/>
    <s v="Struct"/>
    <x v="15"/>
    <n v="1"/>
    <m/>
    <m/>
    <m/>
    <m/>
    <m/>
    <m/>
    <m/>
    <m/>
    <m/>
    <m/>
    <m/>
    <m/>
    <s v=""/>
    <m/>
    <n v="0"/>
  </r>
  <r>
    <x v="17"/>
    <s v="CDC"/>
    <d v="2002-01-25T00:00:00"/>
    <d v="2009-01-25T00:00:00"/>
    <n v="7"/>
    <s v="Fixe"/>
    <s v="Non_st"/>
    <x v="15"/>
    <n v="1"/>
    <m/>
    <m/>
    <m/>
    <m/>
    <m/>
    <m/>
    <m/>
    <m/>
    <m/>
    <m/>
    <m/>
    <m/>
    <s v=""/>
    <m/>
    <n v="0"/>
  </r>
  <r>
    <x v="18"/>
    <s v="CDC"/>
    <d v="2002-02-01T00:00:00"/>
    <d v="2022-02-01T00:00:00"/>
    <n v="20"/>
    <s v="Livret A"/>
    <s v="Livr_A"/>
    <x v="15"/>
    <n v="1"/>
    <m/>
    <m/>
    <d v="2003-02-01T00:00:00"/>
    <d v="2003-02-01T00:00:00"/>
    <n v="2137796"/>
    <n v="862484"/>
    <n v="1.0200000000000001E-2"/>
    <n v="12246.08"/>
    <n v="117202.97"/>
    <m/>
    <n v="7868.69"/>
    <n v="129449.05"/>
    <n v="0"/>
    <m/>
    <n v="0"/>
  </r>
  <r>
    <x v="19"/>
    <s v="CDC"/>
    <d v="2002-04-01T00:00:00"/>
    <d v="2022-04-01T00:00:00"/>
    <n v="20"/>
    <s v="Livret A"/>
    <s v="Livr_A"/>
    <x v="15"/>
    <n v="1"/>
    <m/>
    <m/>
    <m/>
    <m/>
    <m/>
    <m/>
    <m/>
    <m/>
    <m/>
    <m/>
    <m/>
    <m/>
    <s v=""/>
    <m/>
    <n v="0"/>
  </r>
  <r>
    <x v="20"/>
    <s v="Crédit Agricole"/>
    <d v="2002-04-15T00:00:00"/>
    <d v="2017-04-18T00:00:00"/>
    <n v="15"/>
    <s v="Barrière hors zone EUR"/>
    <s v="Struct"/>
    <x v="15"/>
    <n v="1"/>
    <m/>
    <m/>
    <d v="2003-04-15T00:00:00"/>
    <d v="2003-04-15T00:00:00"/>
    <m/>
    <n v="2160252"/>
    <n v="5.0000000000000001E-4"/>
    <n v="4460.26"/>
    <n v="1025651.12"/>
    <m/>
    <n v="0"/>
    <n v="1030111.38"/>
    <n v="0"/>
    <m/>
    <n v="0"/>
  </r>
  <r>
    <x v="21"/>
    <s v="Dexia CL"/>
    <d v="2002-05-01T00:00:00"/>
    <d v="2004-04-10T00:00:00"/>
    <n v="17"/>
    <s v="Barrière"/>
    <s v="Struct"/>
    <x v="15"/>
    <n v="1"/>
    <m/>
    <m/>
    <m/>
    <m/>
    <m/>
    <m/>
    <m/>
    <m/>
    <m/>
    <m/>
    <m/>
    <m/>
    <s v=""/>
    <m/>
    <n v="0"/>
  </r>
  <r>
    <x v="22"/>
    <s v="Dexia CL"/>
    <d v="2002-05-01T00:00:00"/>
    <d v="2005-07-01T00:00:00"/>
    <n v="19.25"/>
    <s v="Barrière hors zone EUR"/>
    <s v="Struct"/>
    <x v="15"/>
    <n v="1"/>
    <m/>
    <m/>
    <m/>
    <m/>
    <m/>
    <m/>
    <m/>
    <m/>
    <m/>
    <m/>
    <m/>
    <m/>
    <s v=""/>
    <m/>
    <n v="0"/>
  </r>
  <r>
    <x v="23"/>
    <s v="Dexia CL"/>
    <d v="2002-05-01T00:00:00"/>
    <d v="2004-04-10T00:00:00"/>
    <n v="19.25"/>
    <s v="Barrière hors zone EUR"/>
    <s v="Struct"/>
    <x v="15"/>
    <n v="1"/>
    <m/>
    <m/>
    <m/>
    <m/>
    <m/>
    <m/>
    <m/>
    <m/>
    <m/>
    <m/>
    <m/>
    <m/>
    <s v=""/>
    <m/>
    <n v="0"/>
  </r>
  <r>
    <x v="25"/>
    <s v="Dexia CL"/>
    <d v="2002-05-01T00:00:00"/>
    <d v="2004-07-25T00:00:00"/>
    <n v="8"/>
    <s v="Variable hors zone EUR"/>
    <s v="Struct"/>
    <x v="15"/>
    <n v="1"/>
    <m/>
    <m/>
    <m/>
    <m/>
    <m/>
    <m/>
    <m/>
    <m/>
    <m/>
    <m/>
    <m/>
    <m/>
    <s v=""/>
    <m/>
    <n v="0"/>
  </r>
  <r>
    <x v="26"/>
    <s v="CDC"/>
    <d v="2002-10-01T00:00:00"/>
    <d v="2002-10-01T00:00:00"/>
    <n v="20"/>
    <s v="Livret A"/>
    <s v="Livr_A"/>
    <x v="15"/>
    <n v="1"/>
    <m/>
    <m/>
    <m/>
    <m/>
    <m/>
    <m/>
    <m/>
    <m/>
    <m/>
    <m/>
    <m/>
    <m/>
    <s v=""/>
    <m/>
    <n v="0"/>
  </r>
  <r>
    <x v="27"/>
    <s v="Dexia CL"/>
    <d v="2002-10-04T00:00:00"/>
    <d v="2004-07-25T00:00:00"/>
    <n v="20"/>
    <s v="Fixe"/>
    <s v="Non_st"/>
    <x v="15"/>
    <n v="1"/>
    <m/>
    <m/>
    <m/>
    <m/>
    <m/>
    <m/>
    <m/>
    <m/>
    <m/>
    <m/>
    <m/>
    <m/>
    <s v=""/>
    <m/>
    <n v="0"/>
  </r>
  <r>
    <x v="28"/>
    <s v="CDC"/>
    <d v="2002-12-31T00:00:00"/>
    <d v="2023-01-01T00:00:00"/>
    <n v="20"/>
    <s v="Livret A"/>
    <s v="Livr_A"/>
    <x v="15"/>
    <n v="1"/>
    <m/>
    <m/>
    <m/>
    <m/>
    <m/>
    <m/>
    <m/>
    <m/>
    <m/>
    <m/>
    <m/>
    <m/>
    <s v=""/>
    <m/>
    <n v="0"/>
  </r>
  <r>
    <x v="31"/>
    <s v="Dexia CL"/>
    <d v="2003-03-01T00:00:00"/>
    <d v="2005-04-01T00:00:00"/>
    <n v="15"/>
    <s v="Barrière"/>
    <s v="Struct"/>
    <x v="15"/>
    <n v="1"/>
    <m/>
    <m/>
    <m/>
    <m/>
    <m/>
    <m/>
    <m/>
    <m/>
    <m/>
    <m/>
    <m/>
    <m/>
    <s v=""/>
    <m/>
    <n v="0"/>
  </r>
  <r>
    <x v="32"/>
    <s v="Dexia CL"/>
    <d v="2003-05-01T00:00:00"/>
    <d v="2005-04-01T00:00:00"/>
    <n v="8"/>
    <s v="Barrière"/>
    <s v="Struct"/>
    <x v="15"/>
    <n v="1"/>
    <m/>
    <m/>
    <m/>
    <m/>
    <m/>
    <m/>
    <m/>
    <m/>
    <m/>
    <m/>
    <m/>
    <m/>
    <s v=""/>
    <m/>
    <n v="0"/>
  </r>
  <r>
    <x v="34"/>
    <s v="Dexia CL"/>
    <d v="2003-05-31T00:00:00"/>
    <d v="2005-04-01T00:00:00"/>
    <n v="20"/>
    <s v="Barrière"/>
    <s v="Struct"/>
    <x v="15"/>
    <n v="1"/>
    <m/>
    <m/>
    <m/>
    <m/>
    <m/>
    <m/>
    <m/>
    <m/>
    <m/>
    <m/>
    <m/>
    <m/>
    <s v=""/>
    <m/>
    <n v="0"/>
  </r>
  <r>
    <x v="35"/>
    <s v="Caisse d'Épargne"/>
    <d v="2003-07-01T00:00:00"/>
    <d v="2006-02-25T00:00:00"/>
    <n v="20"/>
    <s v="Barrière hors zone EUR"/>
    <s v="Struct"/>
    <x v="15"/>
    <n v="1"/>
    <m/>
    <m/>
    <m/>
    <m/>
    <m/>
    <m/>
    <m/>
    <m/>
    <m/>
    <m/>
    <m/>
    <m/>
    <s v=""/>
    <m/>
    <n v="0"/>
  </r>
  <r>
    <x v="37"/>
    <s v="Caisse d'Épargne"/>
    <d v="2003-09-01T00:00:00"/>
    <d v="2006-09-01T00:00:00"/>
    <n v="3"/>
    <s v="Fixe"/>
    <s v="Non_st"/>
    <x v="15"/>
    <n v="1"/>
    <m/>
    <m/>
    <m/>
    <m/>
    <m/>
    <m/>
    <m/>
    <m/>
    <m/>
    <m/>
    <m/>
    <m/>
    <s v=""/>
    <m/>
    <n v="0"/>
  </r>
  <r>
    <x v="38"/>
    <s v="Caisse d'Épargne"/>
    <d v="2004-02-05T00:00:00"/>
    <d v="2011-06-25T00:00:00"/>
    <n v="7"/>
    <s v="Fixe"/>
    <s v="Non_st"/>
    <x v="15"/>
    <n v="1"/>
    <m/>
    <m/>
    <m/>
    <m/>
    <m/>
    <m/>
    <m/>
    <m/>
    <m/>
    <m/>
    <m/>
    <m/>
    <s v=""/>
    <m/>
    <n v="0"/>
  </r>
  <r>
    <x v="39"/>
    <s v="Dexia CL"/>
    <d v="2004-03-31T00:00:00"/>
    <d v="2007-04-01T00:00:00"/>
    <n v="3"/>
    <s v="Fixe"/>
    <s v="Non_st"/>
    <x v="15"/>
    <n v="1"/>
    <m/>
    <m/>
    <m/>
    <m/>
    <m/>
    <m/>
    <m/>
    <m/>
    <m/>
    <m/>
    <m/>
    <m/>
    <s v=""/>
    <m/>
    <n v="0"/>
  </r>
  <r>
    <x v="40"/>
    <s v="Dexia CL"/>
    <d v="2004-04-10T00:00:00"/>
    <d v="2005-12-01T00:00:00"/>
    <n v="17.75"/>
    <s v="Barrière avec multiplicateur"/>
    <s v="Struct"/>
    <x v="15"/>
    <n v="1"/>
    <m/>
    <m/>
    <m/>
    <m/>
    <m/>
    <m/>
    <m/>
    <m/>
    <m/>
    <m/>
    <m/>
    <m/>
    <s v=""/>
    <m/>
    <n v="0"/>
  </r>
  <r>
    <x v="41"/>
    <s v="Dexia CL"/>
    <d v="2004-04-10T00:00:00"/>
    <d v="2005-07-01T00:00:00"/>
    <n v="15"/>
    <s v="Barrière hors zone EUR"/>
    <s v="Struct"/>
    <x v="15"/>
    <n v="1"/>
    <m/>
    <m/>
    <m/>
    <m/>
    <m/>
    <m/>
    <m/>
    <m/>
    <m/>
    <m/>
    <m/>
    <m/>
    <s v=""/>
    <m/>
    <n v="0"/>
  </r>
  <r>
    <x v="42"/>
    <s v="Dexia CL"/>
    <d v="2004-04-15T00:00:00"/>
    <d v="2005-04-01T00:00:00"/>
    <n v="15"/>
    <s v="Variable hors zone EUR"/>
    <s v="Struct"/>
    <x v="15"/>
    <n v="1"/>
    <m/>
    <m/>
    <m/>
    <m/>
    <m/>
    <m/>
    <m/>
    <m/>
    <m/>
    <m/>
    <m/>
    <m/>
    <s v=""/>
    <m/>
    <n v="0"/>
  </r>
  <r>
    <x v="43"/>
    <s v="Dexia CL"/>
    <d v="2004-04-29T00:00:00"/>
    <d v="2007-05-01T00:00:00"/>
    <n v="21"/>
    <s v="Barrière"/>
    <s v="Struct"/>
    <x v="15"/>
    <n v="1"/>
    <m/>
    <m/>
    <m/>
    <m/>
    <m/>
    <m/>
    <m/>
    <m/>
    <m/>
    <m/>
    <m/>
    <m/>
    <s v=""/>
    <m/>
    <n v="0"/>
  </r>
  <r>
    <x v="44"/>
    <s v="Dexia CL"/>
    <d v="2004-06-15T00:00:00"/>
    <d v="2005-02-01T00:00:00"/>
    <n v="10"/>
    <s v="Change"/>
    <s v="Struct"/>
    <x v="15"/>
    <n v="1"/>
    <m/>
    <m/>
    <m/>
    <m/>
    <m/>
    <m/>
    <m/>
    <m/>
    <m/>
    <m/>
    <m/>
    <m/>
    <s v=""/>
    <m/>
    <n v="0"/>
  </r>
  <r>
    <x v="45"/>
    <s v="Dexia CL"/>
    <d v="2004-07-25T00:00:00"/>
    <d v="2006-03-01T00:00:00"/>
    <n v="18"/>
    <s v="Pente"/>
    <s v="Struct"/>
    <x v="15"/>
    <n v="1"/>
    <m/>
    <m/>
    <m/>
    <m/>
    <m/>
    <m/>
    <m/>
    <m/>
    <m/>
    <m/>
    <m/>
    <m/>
    <s v=""/>
    <m/>
    <n v="0"/>
  </r>
  <r>
    <x v="47"/>
    <s v="Dexia CL"/>
    <d v="2005-02-23T00:00:00"/>
    <d v="2007-02-01T00:00:00"/>
    <n v="17"/>
    <s v="Barrière avec multiplicateur"/>
    <s v="Struct"/>
    <x v="15"/>
    <n v="1"/>
    <m/>
    <m/>
    <m/>
    <m/>
    <m/>
    <m/>
    <m/>
    <m/>
    <m/>
    <m/>
    <m/>
    <m/>
    <s v=""/>
    <m/>
    <n v="0"/>
  </r>
  <r>
    <x v="48"/>
    <s v="Dexia CL"/>
    <d v="2005-02-23T00:00:00"/>
    <d v="2007-05-01T00:00:00"/>
    <n v="15"/>
    <s v="Variable hors zone EUR"/>
    <s v="Struct"/>
    <x v="15"/>
    <n v="1"/>
    <m/>
    <m/>
    <m/>
    <m/>
    <m/>
    <m/>
    <m/>
    <m/>
    <m/>
    <m/>
    <m/>
    <m/>
    <s v=""/>
    <m/>
    <n v="0"/>
  </r>
  <r>
    <x v="49"/>
    <s v="Crédit Mutuel"/>
    <d v="2005-03-24T00:00:00"/>
    <d v="2010-03-23T00:00:00"/>
    <n v="5"/>
    <s v="Fixe"/>
    <s v="Non_st"/>
    <x v="15"/>
    <n v="1"/>
    <m/>
    <m/>
    <m/>
    <m/>
    <m/>
    <m/>
    <m/>
    <m/>
    <m/>
    <m/>
    <m/>
    <m/>
    <s v=""/>
    <m/>
    <n v="0"/>
  </r>
  <r>
    <x v="50"/>
    <s v="Dexia CL"/>
    <d v="2005-04-01T00:00:00"/>
    <d v="2006-07-01T00:00:00"/>
    <n v="19"/>
    <s v="Change"/>
    <s v="Struct"/>
    <x v="15"/>
    <n v="1"/>
    <m/>
    <m/>
    <m/>
    <m/>
    <m/>
    <m/>
    <m/>
    <m/>
    <m/>
    <m/>
    <m/>
    <m/>
    <s v=""/>
    <m/>
    <n v="0"/>
  </r>
  <r>
    <x v="51"/>
    <s v="Dexia CL"/>
    <d v="2005-04-01T00:00:00"/>
    <d v="2007-05-01T00:00:00"/>
    <n v="15"/>
    <s v="Change"/>
    <s v="Struct"/>
    <x v="15"/>
    <n v="1"/>
    <m/>
    <m/>
    <m/>
    <m/>
    <m/>
    <m/>
    <m/>
    <m/>
    <m/>
    <m/>
    <m/>
    <m/>
    <s v=""/>
    <m/>
    <n v="0"/>
  </r>
  <r>
    <x v="52"/>
    <s v="CDC"/>
    <d v="2005-05-01T00:00:00"/>
    <d v="2011-04-30T00:00:00"/>
    <n v="6"/>
    <s v="Variable"/>
    <s v="Non_st"/>
    <x v="15"/>
    <n v="1"/>
    <m/>
    <m/>
    <m/>
    <m/>
    <m/>
    <m/>
    <m/>
    <m/>
    <m/>
    <m/>
    <m/>
    <m/>
    <s v=""/>
    <m/>
    <n v="0"/>
  </r>
  <r>
    <x v="53"/>
    <s v="CDC"/>
    <d v="2005-05-01T00:00:00"/>
    <d v="2013-04-29T00:00:00"/>
    <n v="8"/>
    <s v="Variable"/>
    <s v="Non_st"/>
    <x v="15"/>
    <n v="1"/>
    <m/>
    <m/>
    <m/>
    <m/>
    <m/>
    <m/>
    <m/>
    <m/>
    <m/>
    <m/>
    <m/>
    <m/>
    <s v=""/>
    <m/>
    <n v="0"/>
  </r>
  <r>
    <x v="54"/>
    <s v="Dexia CL"/>
    <d v="2005-06-01T00:00:00"/>
    <d v="2006-03-29T00:00:00"/>
    <n v="17.25"/>
    <s v="Change"/>
    <s v="Struct"/>
    <x v="15"/>
    <n v="1"/>
    <m/>
    <m/>
    <m/>
    <m/>
    <m/>
    <m/>
    <m/>
    <m/>
    <m/>
    <m/>
    <m/>
    <m/>
    <s v=""/>
    <m/>
    <n v="0"/>
  </r>
  <r>
    <x v="55"/>
    <s v="Dexia CL"/>
    <d v="2005-07-01T00:00:00"/>
    <d v="2006-07-01T00:00:00"/>
    <n v="16"/>
    <s v="Pente"/>
    <s v="Struct"/>
    <x v="15"/>
    <n v="1"/>
    <m/>
    <m/>
    <m/>
    <m/>
    <m/>
    <m/>
    <m/>
    <m/>
    <m/>
    <m/>
    <m/>
    <m/>
    <s v=""/>
    <m/>
    <n v="0"/>
  </r>
  <r>
    <x v="56"/>
    <s v="Dexia CL"/>
    <d v="2005-12-01T00:00:00"/>
    <d v="2006-03-29T00:00:00"/>
    <n v="16"/>
    <s v="Pente"/>
    <s v="Struct"/>
    <x v="15"/>
    <n v="1"/>
    <m/>
    <m/>
    <m/>
    <m/>
    <m/>
    <m/>
    <m/>
    <m/>
    <m/>
    <m/>
    <m/>
    <m/>
    <s v=""/>
    <m/>
    <n v="0"/>
  </r>
  <r>
    <x v="57"/>
    <s v="Dexia CL"/>
    <d v="2005-12-23T00:00:00"/>
    <d v="2007-05-01T00:00:00"/>
    <n v="18.170000000000002"/>
    <s v="Pente"/>
    <s v="Struct"/>
    <x v="15"/>
    <n v="1"/>
    <m/>
    <m/>
    <m/>
    <m/>
    <m/>
    <m/>
    <m/>
    <m/>
    <m/>
    <m/>
    <m/>
    <m/>
    <s v=""/>
    <m/>
    <n v="0"/>
  </r>
  <r>
    <x v="60"/>
    <s v="Crédit Agricole"/>
    <d v="2006-03-06T00:00:00"/>
    <d v="2021-03-02T00:00:00"/>
    <n v="15"/>
    <s v="Barrière"/>
    <s v="Struct"/>
    <x v="15"/>
    <n v="1"/>
    <m/>
    <m/>
    <m/>
    <m/>
    <m/>
    <m/>
    <m/>
    <m/>
    <m/>
    <m/>
    <m/>
    <m/>
    <s v=""/>
    <m/>
    <n v="0"/>
  </r>
  <r>
    <x v="61"/>
    <s v="Crédit Agricole"/>
    <d v="2006-03-06T00:00:00"/>
    <d v="2021-03-06T00:00:00"/>
    <n v="15"/>
    <s v="Fixe"/>
    <s v="Non_st"/>
    <x v="15"/>
    <n v="1"/>
    <m/>
    <m/>
    <m/>
    <m/>
    <m/>
    <n v="2323877"/>
    <n v="3.2300000000000002E-2"/>
    <n v="182413.09"/>
    <n v="341357.01"/>
    <m/>
    <n v="96481.49"/>
    <n v="523770.1"/>
    <n v="0"/>
    <m/>
    <n v="0"/>
  </r>
  <r>
    <x v="63"/>
    <s v="Dexia CL"/>
    <d v="2006-07-01T00:00:00"/>
    <d v="2011-07-13T00:00:00"/>
    <n v="20"/>
    <s v="Change"/>
    <s v="Struct"/>
    <x v="15"/>
    <n v="1"/>
    <m/>
    <m/>
    <m/>
    <m/>
    <m/>
    <m/>
    <m/>
    <m/>
    <m/>
    <m/>
    <m/>
    <m/>
    <s v=""/>
    <m/>
    <n v="0"/>
  </r>
  <r>
    <x v="65"/>
    <s v="Dexia CL"/>
    <d v="2006-10-01T00:00:00"/>
    <d v="2009-10-01T00:00:00"/>
    <n v="19"/>
    <s v="Change"/>
    <s v="Struct"/>
    <x v="15"/>
    <n v="1"/>
    <m/>
    <m/>
    <m/>
    <m/>
    <m/>
    <m/>
    <m/>
    <m/>
    <m/>
    <m/>
    <m/>
    <m/>
    <s v=""/>
    <m/>
    <n v="0"/>
  </r>
  <r>
    <x v="66"/>
    <s v="Dexia CL"/>
    <d v="2006-10-01T00:00:00"/>
    <d v="2008-12-01T00:00:00"/>
    <n v="19.170000000000002"/>
    <s v="Change"/>
    <s v="Struct"/>
    <x v="15"/>
    <n v="1"/>
    <m/>
    <m/>
    <m/>
    <m/>
    <m/>
    <m/>
    <m/>
    <m/>
    <m/>
    <m/>
    <m/>
    <m/>
    <s v=""/>
    <m/>
    <n v="0"/>
  </r>
  <r>
    <x v="72"/>
    <s v="Dexia CL"/>
    <d v="2007-02-01T00:00:00"/>
    <d v="2008-08-08T00:00:00"/>
    <n v="18.75"/>
    <s v="Change"/>
    <s v="Struct"/>
    <x v="15"/>
    <n v="1"/>
    <m/>
    <m/>
    <m/>
    <m/>
    <m/>
    <m/>
    <m/>
    <m/>
    <m/>
    <m/>
    <m/>
    <m/>
    <s v=""/>
    <m/>
    <n v="0"/>
  </r>
  <r>
    <x v="73"/>
    <s v="Crédit Agricole"/>
    <d v="2007-04-10T00:00:00"/>
    <d v="2028-03-01T00:00:00"/>
    <n v="20"/>
    <s v="Pente"/>
    <s v="Struct"/>
    <x v="15"/>
    <n v="1"/>
    <m/>
    <m/>
    <m/>
    <m/>
    <n v="5000000"/>
    <n v="3546901"/>
    <n v="3.5700000000000003E-2"/>
    <n v="131984.14000000001"/>
    <n v="215640.65"/>
    <m/>
    <n v="10345.129999999999"/>
    <n v="347624.79000000004"/>
    <n v="0"/>
    <m/>
    <n v="0"/>
  </r>
  <r>
    <x v="74"/>
    <s v="Dexia CL"/>
    <d v="2007-05-01T00:00:00"/>
    <d v="2009-12-29T00:00:00"/>
    <n v="17"/>
    <s v="Courbes"/>
    <s v="Struct"/>
    <x v="15"/>
    <n v="1"/>
    <m/>
    <m/>
    <m/>
    <m/>
    <m/>
    <m/>
    <m/>
    <m/>
    <m/>
    <m/>
    <m/>
    <m/>
    <s v=""/>
    <m/>
    <n v="0"/>
  </r>
  <r>
    <x v="75"/>
    <s v="Dexia CL"/>
    <d v="2007-05-01T00:00:00"/>
    <d v="2009-12-29T00:00:00"/>
    <n v="16.920000000000002"/>
    <s v="Écart d'inflation"/>
    <s v="Struct"/>
    <x v="15"/>
    <n v="1"/>
    <m/>
    <m/>
    <m/>
    <m/>
    <m/>
    <m/>
    <m/>
    <m/>
    <m/>
    <m/>
    <m/>
    <m/>
    <s v=""/>
    <m/>
    <n v="0"/>
  </r>
  <r>
    <x v="76"/>
    <s v="Société générale"/>
    <d v="2007-05-24T00:00:00"/>
    <d v="2009-04-01T00:00:00"/>
    <n v="19"/>
    <s v="Change"/>
    <s v="Struct"/>
    <x v="15"/>
    <n v="1"/>
    <m/>
    <m/>
    <m/>
    <m/>
    <m/>
    <m/>
    <m/>
    <m/>
    <m/>
    <m/>
    <m/>
    <m/>
    <s v=""/>
    <m/>
    <n v="0"/>
  </r>
  <r>
    <x v="77"/>
    <s v="Caisse d'Épargne"/>
    <d v="2007-07-25T00:00:00"/>
    <d v="2012-02-25T00:00:00"/>
    <n v="18.579999999999998"/>
    <s v="Courbes"/>
    <s v="Struct"/>
    <x v="15"/>
    <n v="1"/>
    <m/>
    <m/>
    <m/>
    <m/>
    <m/>
    <m/>
    <m/>
    <m/>
    <m/>
    <m/>
    <m/>
    <m/>
    <s v=""/>
    <m/>
    <n v="0"/>
  </r>
  <r>
    <x v="80"/>
    <s v="Dexia CL"/>
    <d v="2007-09-25T00:00:00"/>
    <d v="2010-01-01T00:00:00"/>
    <n v="25.42"/>
    <s v="Barrière avec multiplicateur"/>
    <s v="Struct"/>
    <x v="15"/>
    <n v="1"/>
    <m/>
    <m/>
    <m/>
    <m/>
    <m/>
    <m/>
    <m/>
    <m/>
    <m/>
    <m/>
    <m/>
    <m/>
    <s v=""/>
    <m/>
    <n v="0"/>
  </r>
  <r>
    <x v="82"/>
    <s v="Caisse d'Épargne"/>
    <d v="2007-12-31T00:00:00"/>
    <d v="2013-02-25T00:00:00"/>
    <n v="20"/>
    <s v="Courbes"/>
    <s v="Struct"/>
    <x v="15"/>
    <n v="1"/>
    <m/>
    <m/>
    <m/>
    <m/>
    <m/>
    <m/>
    <m/>
    <m/>
    <m/>
    <m/>
    <m/>
    <m/>
    <s v=""/>
    <m/>
    <n v="0"/>
  </r>
  <r>
    <x v="86"/>
    <s v="Dexia CL"/>
    <d v="2009-12-29T00:00:00"/>
    <d v="2010-05-01T00:00:00"/>
    <n v="20.83"/>
    <s v="Courbes"/>
    <s v="Struct"/>
    <x v="15"/>
    <n v="1"/>
    <m/>
    <m/>
    <m/>
    <m/>
    <m/>
    <m/>
    <m/>
    <m/>
    <m/>
    <m/>
    <m/>
    <m/>
    <s v=""/>
    <m/>
    <n v="0"/>
  </r>
  <r>
    <x v="87"/>
    <s v="Dexia CL"/>
    <d v="2008-08-08T00:00:00"/>
    <d v="2011-11-01T00:00:00"/>
    <n v="25.33"/>
    <s v="Change"/>
    <s v="Struct"/>
    <x v="15"/>
    <n v="1"/>
    <m/>
    <m/>
    <m/>
    <m/>
    <m/>
    <m/>
    <m/>
    <m/>
    <m/>
    <m/>
    <m/>
    <m/>
    <s v=""/>
    <m/>
    <n v="0"/>
  </r>
  <r>
    <x v="88"/>
    <s v="Dexia CL"/>
    <d v="2008-08-08T00:00:00"/>
    <d v="2012-11-01T00:00:00"/>
    <n v="25.33"/>
    <s v="Change"/>
    <s v="Struct"/>
    <x v="15"/>
    <n v="1"/>
    <m/>
    <m/>
    <m/>
    <m/>
    <m/>
    <m/>
    <m/>
    <m/>
    <m/>
    <m/>
    <m/>
    <m/>
    <s v=""/>
    <m/>
    <n v="0"/>
  </r>
  <r>
    <x v="89"/>
    <s v="Dexia CL"/>
    <d v="2012-11-01T00:00:00"/>
    <d v="2017-11-01T00:00:00"/>
    <n v="25"/>
    <s v="Change"/>
    <s v="Struct"/>
    <x v="15"/>
    <n v="1"/>
    <m/>
    <m/>
    <m/>
    <m/>
    <m/>
    <n v="8016699"/>
    <n v="2.9899999999999999E-2"/>
    <n v="248734.88"/>
    <n v="271393.69"/>
    <m/>
    <n v="39549.050000000003"/>
    <n v="520128.57"/>
    <n v="0"/>
    <m/>
    <n v="0"/>
  </r>
  <r>
    <x v="90"/>
    <s v="Dexia CL"/>
    <d v="2008-12-01T00:00:00"/>
    <d v="2010-12-01T00:00:00"/>
    <n v="17"/>
    <s v="Change"/>
    <s v="Struct"/>
    <x v="15"/>
    <n v="1"/>
    <m/>
    <m/>
    <m/>
    <m/>
    <m/>
    <m/>
    <m/>
    <m/>
    <m/>
    <m/>
    <m/>
    <m/>
    <s v=""/>
    <m/>
    <n v="0"/>
  </r>
  <r>
    <x v="91"/>
    <s v="Dexia CL"/>
    <d v="2008-12-01T00:00:00"/>
    <d v="2012-12-01T00:00:00"/>
    <n v="25"/>
    <s v="Pente"/>
    <s v="Struct"/>
    <x v="15"/>
    <n v="1"/>
    <m/>
    <m/>
    <m/>
    <m/>
    <m/>
    <m/>
    <m/>
    <m/>
    <m/>
    <m/>
    <m/>
    <m/>
    <s v=""/>
    <m/>
    <n v="0"/>
  </r>
  <r>
    <x v="93"/>
    <s v="Dexia CL"/>
    <d v="2009-03-27T00:00:00"/>
    <d v="2029-04-01T00:00:00"/>
    <n v="20"/>
    <s v="Fixe"/>
    <s v="Non_st"/>
    <x v="15"/>
    <n v="1"/>
    <m/>
    <m/>
    <m/>
    <m/>
    <m/>
    <n v="4598226"/>
    <n v="4.53E-2"/>
    <n v="215792.87"/>
    <n v="242935.93"/>
    <m/>
    <n v="52072.36"/>
    <n v="458728.8"/>
    <n v="0"/>
    <m/>
    <n v="0"/>
  </r>
  <r>
    <x v="94"/>
    <s v="Société générale"/>
    <d v="2009-04-01T00:00:00"/>
    <d v="2010-10-01T00:00:00"/>
    <n v="18"/>
    <s v="Change"/>
    <s v="Struct"/>
    <x v="15"/>
    <n v="1"/>
    <m/>
    <m/>
    <m/>
    <m/>
    <m/>
    <m/>
    <m/>
    <m/>
    <m/>
    <m/>
    <m/>
    <m/>
    <s v=""/>
    <m/>
    <n v="0"/>
  </r>
  <r>
    <x v="95"/>
    <s v="Dexia CL"/>
    <d v="2009-10-01T00:00:00"/>
    <d v="2010-10-01T00:00:00"/>
    <n v="16"/>
    <s v="Change"/>
    <s v="Struct"/>
    <x v="15"/>
    <n v="1"/>
    <m/>
    <m/>
    <m/>
    <m/>
    <m/>
    <m/>
    <m/>
    <m/>
    <m/>
    <m/>
    <m/>
    <m/>
    <s v=""/>
    <m/>
    <n v="0"/>
  </r>
  <r>
    <x v="98"/>
    <s v="Dexia CL"/>
    <d v="2009-11-01T00:00:00"/>
    <d v="2017-11-01T00:00:00"/>
    <n v="23"/>
    <s v="Pente"/>
    <s v="Struct"/>
    <x v="15"/>
    <n v="1"/>
    <m/>
    <m/>
    <m/>
    <m/>
    <m/>
    <n v="10524048"/>
    <n v="3.78E-2"/>
    <n v="417689.47"/>
    <n v="491130.78"/>
    <m/>
    <n v="65599.899999999994"/>
    <n v="908820.25"/>
    <n v="0"/>
    <m/>
    <n v="0"/>
  </r>
  <r>
    <x v="96"/>
    <s v="Dexia CL"/>
    <d v="2009-11-16T00:00:00"/>
    <d v="2011-12-01T00:00:00"/>
    <n v="25"/>
    <s v="Variable"/>
    <s v="Non_st"/>
    <x v="15"/>
    <n v="1"/>
    <m/>
    <m/>
    <m/>
    <m/>
    <m/>
    <m/>
    <m/>
    <m/>
    <m/>
    <m/>
    <m/>
    <m/>
    <s v=""/>
    <m/>
    <n v="0"/>
  </r>
  <r>
    <x v="99"/>
    <s v="Caisse d'Épargne"/>
    <d v="2009-11-25T00:00:00"/>
    <d v="2026-11-25T00:00:00"/>
    <n v="17"/>
    <s v="Fixe"/>
    <s v="Restr_sec"/>
    <x v="15"/>
    <n v="1"/>
    <m/>
    <m/>
    <m/>
    <m/>
    <m/>
    <n v="3165307"/>
    <n v="4.7500000000000001E-2"/>
    <n v="161924.92000000001"/>
    <n v="232709.58"/>
    <m/>
    <n v="14876.94"/>
    <n v="394634.5"/>
    <n v="0"/>
    <m/>
    <n v="0"/>
  </r>
  <r>
    <x v="97"/>
    <s v="Arkea"/>
    <d v="2009-12-21T00:00:00"/>
    <d v="2030-10-30T00:00:00"/>
    <n v="20"/>
    <s v="Variable"/>
    <s v="Non_st"/>
    <x v="15"/>
    <n v="1"/>
    <m/>
    <m/>
    <m/>
    <m/>
    <m/>
    <n v="7763256"/>
    <n v="4.4000000000000003E-3"/>
    <n v="37461.089999999997"/>
    <n v="460327.88"/>
    <m/>
    <n v="4839.96"/>
    <n v="497788.97"/>
    <n v="0"/>
    <m/>
    <n v="0"/>
  </r>
  <r>
    <x v="100"/>
    <s v="Société générale"/>
    <d v="2010-10-01T00:00:00"/>
    <d v="2014-01-01T00:00:00"/>
    <n v="25"/>
    <s v="Barrière avec multiplicateur"/>
    <s v="Struct"/>
    <x v="15"/>
    <n v="1"/>
    <m/>
    <m/>
    <m/>
    <m/>
    <m/>
    <m/>
    <m/>
    <m/>
    <m/>
    <m/>
    <m/>
    <m/>
    <s v=""/>
    <m/>
    <n v="0"/>
  </r>
  <r>
    <x v="101"/>
    <s v="Dexia CL"/>
    <d v="2010-01-01T00:00:00"/>
    <d v="2011-11-01T00:00:00"/>
    <n v="23"/>
    <s v="Barrière avec multiplicateur"/>
    <s v="Struct"/>
    <x v="15"/>
    <n v="1"/>
    <m/>
    <m/>
    <m/>
    <m/>
    <m/>
    <m/>
    <m/>
    <m/>
    <m/>
    <m/>
    <m/>
    <m/>
    <s v=""/>
    <m/>
    <n v="0"/>
  </r>
  <r>
    <x v="102"/>
    <s v="Société générale"/>
    <d v="2010-10-01T00:00:00"/>
    <d v="2014-04-01T00:00:00"/>
    <n v="25"/>
    <s v="Barrière avec multiplicateur"/>
    <s v="Struct"/>
    <x v="15"/>
    <n v="1"/>
    <m/>
    <m/>
    <m/>
    <m/>
    <m/>
    <m/>
    <m/>
    <m/>
    <m/>
    <m/>
    <m/>
    <m/>
    <s v=""/>
    <m/>
    <n v="0"/>
  </r>
  <r>
    <x v="103"/>
    <s v="Dexia CL"/>
    <d v="2010-05-01T00:00:00"/>
    <d v="2011-07-13T00:00:00"/>
    <n v="19"/>
    <s v="Barrière avec multiplicateur"/>
    <s v="Struct"/>
    <x v="15"/>
    <n v="1"/>
    <m/>
    <m/>
    <m/>
    <m/>
    <m/>
    <m/>
    <m/>
    <m/>
    <m/>
    <m/>
    <m/>
    <m/>
    <s v=""/>
    <m/>
    <n v="0"/>
  </r>
  <r>
    <x v="104"/>
    <s v="Dexia CL"/>
    <d v="2010-10-01T00:00:00"/>
    <d v="2011-05-01T00:00:00"/>
    <n v="12"/>
    <s v="Change"/>
    <s v="Struct"/>
    <x v="15"/>
    <n v="1"/>
    <m/>
    <m/>
    <m/>
    <m/>
    <m/>
    <m/>
    <m/>
    <m/>
    <m/>
    <m/>
    <m/>
    <m/>
    <s v=""/>
    <m/>
    <n v="0"/>
  </r>
  <r>
    <x v="105"/>
    <s v="Dexia CL"/>
    <d v="2010-07-25T00:00:00"/>
    <d v="2025-09-01T00:00:00"/>
    <n v="15"/>
    <s v="Fixe"/>
    <s v="Non_st"/>
    <x v="15"/>
    <n v="1"/>
    <m/>
    <m/>
    <m/>
    <m/>
    <m/>
    <n v="514324"/>
    <n v="2.1299999999999999E-2"/>
    <n v="11636.15"/>
    <n v="46949.93"/>
    <m/>
    <n v="907.13"/>
    <n v="58586.080000000002"/>
    <n v="0"/>
    <m/>
    <n v="0"/>
  </r>
  <r>
    <x v="106"/>
    <s v="Société générale"/>
    <d v="2010-09-01T00:00:00"/>
    <d v="2030-12-01T00:00:00"/>
    <n v="20"/>
    <s v="Fixe"/>
    <s v="Restr_sec"/>
    <x v="15"/>
    <n v="1"/>
    <m/>
    <m/>
    <m/>
    <m/>
    <m/>
    <n v="1491159"/>
    <n v="4.3799999999999999E-2"/>
    <n v="67632.89"/>
    <n v="65813.09"/>
    <m/>
    <n v="5380.6"/>
    <n v="133445.97999999998"/>
    <n v="0"/>
    <m/>
    <n v="0"/>
  </r>
  <r>
    <x v="107"/>
    <s v="Dexia CL"/>
    <d v="2010-10-01T00:00:00"/>
    <d v="2012-05-01T00:00:00"/>
    <n v="15"/>
    <s v="Change"/>
    <s v="Struct"/>
    <x v="15"/>
    <n v="1"/>
    <m/>
    <m/>
    <m/>
    <m/>
    <m/>
    <m/>
    <m/>
    <m/>
    <m/>
    <m/>
    <m/>
    <m/>
    <s v=""/>
    <m/>
    <n v="0"/>
  </r>
  <r>
    <x v="108"/>
    <s v="Dexia CL"/>
    <d v="2010-12-01T00:00:00"/>
    <d v="2011-12-01T00:00:00"/>
    <n v="17"/>
    <s v="Change"/>
    <s v="Struct"/>
    <x v="15"/>
    <n v="1"/>
    <m/>
    <m/>
    <m/>
    <m/>
    <m/>
    <m/>
    <m/>
    <m/>
    <m/>
    <m/>
    <m/>
    <m/>
    <s v=""/>
    <m/>
    <n v="0"/>
  </r>
  <r>
    <x v="109"/>
    <s v="Société générale"/>
    <d v="2010-12-01T00:00:00"/>
    <d v="2030-12-01T00:00:00"/>
    <n v="20"/>
    <s v="Fixe"/>
    <s v="Restr_sec"/>
    <x v="15"/>
    <n v="1"/>
    <m/>
    <m/>
    <m/>
    <m/>
    <m/>
    <n v="2142352"/>
    <n v="4.3799999999999999E-2"/>
    <n v="98203.25"/>
    <n v="94553.8"/>
    <m/>
    <n v="7730.32"/>
    <n v="192757.05"/>
    <n v="0"/>
    <m/>
    <n v="0"/>
  </r>
  <r>
    <x v="83"/>
    <s v="Société générale"/>
    <d v="2010-12-18T00:00:00"/>
    <d v="2026-03-31T00:00:00"/>
    <n v="15"/>
    <s v="Variable"/>
    <s v="Non_st"/>
    <x v="15"/>
    <n v="1"/>
    <m/>
    <m/>
    <m/>
    <m/>
    <m/>
    <n v="6083404"/>
    <n v="8.9999999999999993E-3"/>
    <n v="57147.79"/>
    <n v="442390.14"/>
    <m/>
    <n v="0"/>
    <n v="499537.93"/>
    <n v="0"/>
    <m/>
    <n v="0"/>
  </r>
  <r>
    <x v="110"/>
    <s v="Dexia CL"/>
    <d v="2011-04-01T00:00:00"/>
    <d v="2014-05-01T00:00:00"/>
    <n v="25"/>
    <s v="Barrière avec multiplicateur"/>
    <s v="Struct"/>
    <x v="15"/>
    <n v="1"/>
    <m/>
    <m/>
    <m/>
    <m/>
    <m/>
    <m/>
    <m/>
    <m/>
    <m/>
    <m/>
    <m/>
    <m/>
    <s v=""/>
    <m/>
    <n v="0"/>
  </r>
  <r>
    <x v="111"/>
    <s v="Dexia CL"/>
    <d v="2011-07-01T00:00:00"/>
    <d v="2036-05-01T00:00:00"/>
    <n v="25"/>
    <s v="Barrière avec multiplicateur"/>
    <s v="Struct"/>
    <x v="15"/>
    <n v="1"/>
    <m/>
    <m/>
    <m/>
    <m/>
    <m/>
    <n v="13234497"/>
    <n v="4.0300000000000002E-2"/>
    <n v="549665.64"/>
    <n v="352870.85"/>
    <m/>
    <n v="357904.91"/>
    <n v="902536.49"/>
    <n v="0"/>
    <m/>
    <n v="0"/>
  </r>
  <r>
    <x v="84"/>
    <s v="Dexia CL"/>
    <d v="2011-07-13T00:00:00"/>
    <d v="2016-10-01T00:00:00"/>
    <n v="15"/>
    <s v="Change"/>
    <s v="Struct"/>
    <x v="15"/>
    <n v="1"/>
    <m/>
    <m/>
    <m/>
    <m/>
    <m/>
    <n v="11253910"/>
    <n v="3.9800000000000002E-2"/>
    <n v="479699.78"/>
    <n v="754428.81"/>
    <m/>
    <n v="225397.06"/>
    <n v="1234128.5900000001"/>
    <n v="0"/>
    <m/>
    <n v="0"/>
  </r>
  <r>
    <x v="112"/>
    <s v="Caisse d'Épargne"/>
    <d v="2011-07-08T00:00:00"/>
    <d v="2027-05-29T00:00:00"/>
    <n v="15"/>
    <s v="Variable"/>
    <s v="Non_st"/>
    <x v="15"/>
    <n v="1"/>
    <m/>
    <m/>
    <m/>
    <m/>
    <m/>
    <n v="4142170"/>
    <n v="1.1900000000000001E-2"/>
    <n v="52005.599999999999"/>
    <n v="260498.97"/>
    <m/>
    <n v="4019.94"/>
    <n v="312504.57"/>
    <n v="0"/>
    <m/>
    <n v="0"/>
  </r>
  <r>
    <x v="113"/>
    <s v="Caisse d'Épargne"/>
    <d v="2011-07-08T00:00:00"/>
    <d v="2027-05-29T00:00:00"/>
    <n v="15"/>
    <s v="Variable"/>
    <s v="Non_st"/>
    <x v="15"/>
    <n v="1"/>
    <m/>
    <m/>
    <m/>
    <m/>
    <m/>
    <n v="4142170"/>
    <n v="8.8999999999999999E-3"/>
    <n v="39088.97"/>
    <n v="260498.97"/>
    <m/>
    <n v="2933.47"/>
    <n v="299587.94"/>
    <n v="0"/>
    <m/>
    <n v="0"/>
  </r>
  <r>
    <x v="114"/>
    <s v="Dexia CL"/>
    <d v="2011-11-01T00:00:00"/>
    <d v="2018-01-01T00:00:00"/>
    <n v="21.17"/>
    <s v="Barrière avec multiplicateur"/>
    <s v="Struct"/>
    <x v="15"/>
    <n v="1"/>
    <m/>
    <m/>
    <m/>
    <m/>
    <m/>
    <n v="8109399"/>
    <n v="3.5400000000000001E-2"/>
    <n v="299532"/>
    <n v="331424.19"/>
    <m/>
    <n v="286982.63"/>
    <n v="630956.18999999994"/>
    <n v="0"/>
    <m/>
    <n v="0"/>
  </r>
  <r>
    <x v="115"/>
    <s v="Dexia CL"/>
    <d v="2011-11-01T00:00:00"/>
    <d v="2014-01-15T00:00:00"/>
    <n v="22"/>
    <s v="Change"/>
    <s v="Struct"/>
    <x v="15"/>
    <n v="1"/>
    <m/>
    <m/>
    <m/>
    <m/>
    <m/>
    <m/>
    <m/>
    <m/>
    <m/>
    <m/>
    <m/>
    <m/>
    <s v=""/>
    <m/>
    <n v="0"/>
  </r>
  <r>
    <x v="116"/>
    <s v="Dexia CL"/>
    <d v="2011-12-01T00:00:00"/>
    <d v="2012-12-01T00:00:00"/>
    <n v="18"/>
    <s v="Change"/>
    <s v="Struct"/>
    <x v="15"/>
    <n v="1"/>
    <m/>
    <m/>
    <m/>
    <m/>
    <m/>
    <m/>
    <m/>
    <m/>
    <m/>
    <m/>
    <m/>
    <m/>
    <s v=""/>
    <m/>
    <n v="0"/>
  </r>
  <r>
    <x v="117"/>
    <s v="Dexia CL"/>
    <d v="2011-12-01T00:00:00"/>
    <d v="2035-12-01T00:00:00"/>
    <n v="24"/>
    <s v="Variable"/>
    <s v="Non_st"/>
    <x v="15"/>
    <n v="1"/>
    <m/>
    <m/>
    <m/>
    <m/>
    <m/>
    <n v="4108794"/>
    <n v="4.1000000000000003E-3"/>
    <n v="17952.88"/>
    <n v="182257.58"/>
    <m/>
    <n v="982.69"/>
    <n v="200210.46"/>
    <n v="0"/>
    <m/>
    <n v="0"/>
  </r>
  <r>
    <x v="118"/>
    <s v="Caisse d'Épargne"/>
    <d v="2012-01-05T00:00:00"/>
    <d v="2032-01-05T00:00:00"/>
    <n v="20"/>
    <s v="Barrière"/>
    <s v="Struct"/>
    <x v="15"/>
    <n v="1"/>
    <m/>
    <m/>
    <m/>
    <m/>
    <m/>
    <n v="5786044"/>
    <n v="4.9000000000000002E-2"/>
    <n v="296628.07"/>
    <n v="246217.85"/>
    <m/>
    <n v="280623.11"/>
    <n v="542845.92000000004"/>
    <n v="0"/>
    <m/>
    <n v="0"/>
  </r>
  <r>
    <x v="119"/>
    <s v="CDC"/>
    <d v="2012-03-23T00:00:00"/>
    <d v="2027-10-01T00:00:00"/>
    <n v="15.25"/>
    <s v="Variable"/>
    <s v="Non_st"/>
    <x v="15"/>
    <n v="1"/>
    <m/>
    <m/>
    <m/>
    <m/>
    <m/>
    <n v="4895833"/>
    <n v="2.01E-2"/>
    <n v="105717.57"/>
    <n v="416666.68"/>
    <m/>
    <n v="24008.62"/>
    <n v="522384.25"/>
    <n v="0"/>
    <m/>
    <n v="0"/>
  </r>
  <r>
    <x v="122"/>
    <s v="Dexia CL"/>
    <d v="2012-05-01T00:00:00"/>
    <d v="2031-10-01T00:00:00"/>
    <n v="19.420000000000002"/>
    <s v="Barrière avec multiplicateur"/>
    <s v="Struct"/>
    <x v="15"/>
    <n v="1"/>
    <m/>
    <m/>
    <m/>
    <m/>
    <m/>
    <n v="13761759"/>
    <n v="1.8700000000000001E-2"/>
    <n v="274616.18"/>
    <n v="554007.9"/>
    <m/>
    <n v="63380.36"/>
    <n v="828624.08000000007"/>
    <n v="0"/>
    <m/>
    <n v="0"/>
  </r>
  <r>
    <x v="123"/>
    <s v="Dexia CL"/>
    <d v="2012-05-01T00:00:00"/>
    <d v="2014-05-01T00:00:00"/>
    <n v="17"/>
    <s v="Change"/>
    <s v="Struct"/>
    <x v="15"/>
    <n v="1"/>
    <m/>
    <m/>
    <m/>
    <m/>
    <m/>
    <n v="0"/>
    <m/>
    <n v="238779.61"/>
    <n v="286456.24"/>
    <m/>
    <n v="0"/>
    <n v="525235.85"/>
    <n v="0"/>
    <m/>
    <n v="5911000"/>
  </r>
  <r>
    <x v="126"/>
    <s v="Caisse d'Épargne"/>
    <d v="2012-09-15T00:00:00"/>
    <d v="2033-07-25T00:00:00"/>
    <n v="20.8"/>
    <s v="Fixe"/>
    <s v="Non_st"/>
    <x v="15"/>
    <n v="1"/>
    <m/>
    <m/>
    <m/>
    <m/>
    <m/>
    <n v="18609542"/>
    <n v="4.5100000000000001E-2"/>
    <n v="859254.07"/>
    <n v="637208.38"/>
    <m/>
    <n v="154403.12"/>
    <n v="1496462.45"/>
    <n v="0"/>
    <m/>
    <n v="0"/>
  </r>
  <r>
    <x v="127"/>
    <s v="Dexia CL"/>
    <d v="2012-12-01T00:00:00"/>
    <d v="2016-11-01T00:00:00"/>
    <n v="17"/>
    <s v="Change"/>
    <s v="Struct"/>
    <x v="15"/>
    <n v="1"/>
    <m/>
    <m/>
    <m/>
    <m/>
    <m/>
    <n v="4928623"/>
    <n v="3.7699999999999997E-2"/>
    <n v="267932.65000000002"/>
    <n v="409582.65"/>
    <m/>
    <n v="80467.92"/>
    <n v="677515.3"/>
    <n v="0"/>
    <m/>
    <n v="3500000"/>
  </r>
  <r>
    <x v="128"/>
    <s v="Dexia CL"/>
    <d v="2012-12-01T00:00:00"/>
    <d v="2033-12-01T00:00:00"/>
    <n v="21"/>
    <s v="Fixe"/>
    <s v="Restr_sec"/>
    <x v="15"/>
    <n v="1"/>
    <m/>
    <m/>
    <m/>
    <m/>
    <m/>
    <n v="6295001"/>
    <n v="5.21E-2"/>
    <n v="363609.33"/>
    <n v="668656.88"/>
    <m/>
    <n v="27016.05"/>
    <n v="1032266.21"/>
    <n v="0"/>
    <m/>
    <n v="0"/>
  </r>
  <r>
    <x v="130"/>
    <s v="Caisse d'Épargne"/>
    <d v="2013-02-25T00:00:00"/>
    <d v="2033-02-25T00:00:00"/>
    <n v="20"/>
    <s v="Fixe"/>
    <s v="Restr_sec"/>
    <x v="15"/>
    <n v="1"/>
    <m/>
    <m/>
    <m/>
    <m/>
    <m/>
    <n v="3703195"/>
    <n v="4.4900000000000002E-2"/>
    <n v="170382.87"/>
    <n v="132342.35999999999"/>
    <m/>
    <n v="16436.099999999999"/>
    <n v="302725.23"/>
    <n v="0"/>
    <m/>
    <n v="0"/>
  </r>
  <r>
    <x v="131"/>
    <s v="Dexia CL"/>
    <d v="2013-06-01T00:00:00"/>
    <d v="2033-06-01T00:00:00"/>
    <n v="20"/>
    <s v="Fixe"/>
    <s v="Restr_sec"/>
    <x v="15"/>
    <n v="1"/>
    <m/>
    <m/>
    <m/>
    <m/>
    <m/>
    <n v="15543965"/>
    <n v="5.04E-2"/>
    <n v="815050.2"/>
    <n v="598306.34"/>
    <m/>
    <n v="458002.94"/>
    <n v="1413356.54"/>
    <n v="0"/>
    <m/>
    <n v="0"/>
  </r>
  <r>
    <x v="132"/>
    <s v="Caisse d'Épargne"/>
    <d v="2013-12-31T00:00:00"/>
    <d v="2033-12-31T00:00:00"/>
    <n v="20"/>
    <s v="Fixe"/>
    <s v="Non_st"/>
    <x v="15"/>
    <n v="1"/>
    <m/>
    <m/>
    <m/>
    <m/>
    <m/>
    <n v="9000000"/>
    <n v="0.04"/>
    <n v="418989.58"/>
    <n v="500000"/>
    <m/>
    <n v="0"/>
    <n v="918989.58000000007"/>
    <n v="0"/>
    <m/>
    <n v="0"/>
  </r>
  <r>
    <x v="133"/>
    <s v="Société générale"/>
    <d v="2014-01-01T00:00:00"/>
    <d v="2035-01-01T00:00:00"/>
    <n v="21"/>
    <s v="Fixe"/>
    <s v="Restr_sec"/>
    <x v="15"/>
    <n v="1"/>
    <m/>
    <m/>
    <m/>
    <m/>
    <m/>
    <n v="3957661"/>
    <n v="4.8500000000000001E-2"/>
    <n v="374401.57"/>
    <n v="113990.39999999999"/>
    <m/>
    <n v="15830.64"/>
    <n v="488391.97"/>
    <n v="0"/>
    <m/>
    <n v="0"/>
  </r>
  <r>
    <x v="134"/>
    <s v="Dexia CL"/>
    <d v="2014-01-15T00:00:00"/>
    <d v="2033-11-01T00:00:00"/>
    <n v="19.829999999999998"/>
    <s v="Fixe"/>
    <s v="Restr_sec"/>
    <x v="15"/>
    <n v="1"/>
    <m/>
    <m/>
    <m/>
    <m/>
    <m/>
    <n v="22478140"/>
    <n v="4.6899999999999997E-2"/>
    <n v="1107853.54"/>
    <n v="1070943.1399999999"/>
    <m/>
    <n v="173830.95"/>
    <n v="2178796.6799999997"/>
    <n v="0"/>
    <m/>
    <n v="0"/>
  </r>
  <r>
    <x v="135"/>
    <s v="Caisse d'Épargne"/>
    <d v="2014-02-25T00:00:00"/>
    <d v="2018-02-25T00:00:00"/>
    <n v="5"/>
    <s v="Courbes"/>
    <s v="Struct"/>
    <x v="15"/>
    <n v="1"/>
    <m/>
    <m/>
    <m/>
    <m/>
    <m/>
    <n v="6606733"/>
    <n v="5.0599999999999999E-2"/>
    <n v="365959.13"/>
    <n v="612186.52"/>
    <m/>
    <n v="283538.98"/>
    <n v="978145.65"/>
    <n v="0"/>
    <m/>
    <n v="0"/>
  </r>
  <r>
    <x v="136"/>
    <s v="Caisse d'Épargne"/>
    <d v="2014-02-25T00:00:00"/>
    <d v="2026-02-25T00:00:00"/>
    <n v="12"/>
    <s v="Fixe"/>
    <s v="Restr_sec"/>
    <x v="15"/>
    <n v="1"/>
    <m/>
    <m/>
    <m/>
    <m/>
    <m/>
    <n v="2321284"/>
    <n v="4.7800000000000002E-2"/>
    <n v="121636.89"/>
    <n v="215092.56"/>
    <m/>
    <n v="94242.21"/>
    <n v="336729.45"/>
    <n v="0"/>
    <m/>
    <n v="0"/>
  </r>
  <r>
    <x v="137"/>
    <s v="Société générale"/>
    <d v="2014-04-01T00:00:00"/>
    <d v="2035-04-01T00:00:00"/>
    <n v="21"/>
    <s v="Fixe"/>
    <s v="Restr_sec"/>
    <x v="15"/>
    <n v="1"/>
    <m/>
    <m/>
    <m/>
    <m/>
    <m/>
    <n v="3299475"/>
    <n v="4.8500000000000001E-2"/>
    <n v="272542.28999999998"/>
    <n v="95033.02"/>
    <m/>
    <n v="13197.9"/>
    <n v="367575.31"/>
    <n v="0"/>
    <m/>
    <n v="0"/>
  </r>
  <r>
    <x v="138"/>
    <s v="Dexia CL"/>
    <d v="2014-05-01T00:00:00"/>
    <d v="2029-05-01T00:00:00"/>
    <n v="15"/>
    <s v="Fixe"/>
    <s v="Non_st"/>
    <x v="15"/>
    <n v="1"/>
    <m/>
    <m/>
    <m/>
    <m/>
    <m/>
    <n v="5721946"/>
    <n v="0.04"/>
    <n v="240900"/>
    <n v="278053.73"/>
    <m/>
    <n v="153577.04"/>
    <n v="518953.73"/>
    <n v="0"/>
    <m/>
    <n v="0"/>
  </r>
  <r>
    <x v="139"/>
    <s v="Dexia CL"/>
    <d v="2014-05-01T00:00:00"/>
    <d v="2036-05-01T00:00:00"/>
    <n v="22"/>
    <s v="Fixe"/>
    <s v="Restr_aidé"/>
    <x v="15"/>
    <n v="1"/>
    <m/>
    <m/>
    <m/>
    <m/>
    <m/>
    <n v="36263209"/>
    <n v="4.7199999999999999E-2"/>
    <n v="1776264.93"/>
    <n v="1251406.26"/>
    <m/>
    <n v="1147811.1499999999"/>
    <n v="3027671.19"/>
    <n v="0"/>
    <m/>
    <n v="0"/>
  </r>
  <r>
    <x v="140"/>
    <s v="Société générale"/>
    <d v="2014-06-30T00:00:00"/>
    <d v="2035-05-31T00:00:00"/>
    <n v="20"/>
    <s v="Variable"/>
    <s v="Non_st"/>
    <x v="15"/>
    <n v="1"/>
    <m/>
    <m/>
    <m/>
    <m/>
    <m/>
    <n v="4875000"/>
    <n v="1.8200000000000001E-2"/>
    <n v="46120.27"/>
    <n v="125000"/>
    <m/>
    <n v="14316.25"/>
    <n v="171120.27"/>
    <n v="0"/>
    <m/>
    <n v="0"/>
  </r>
  <r>
    <x v="141"/>
    <s v="Caisse d'Épargne"/>
    <d v="2014-09-30T00:00:00"/>
    <d v="2034-09-30T00:00:00"/>
    <n v="20"/>
    <s v="Fixe"/>
    <s v="Non_st"/>
    <x v="15"/>
    <n v="1"/>
    <m/>
    <m/>
    <m/>
    <m/>
    <m/>
    <n v="9500000"/>
    <n v="4.3999999999999997E-2"/>
    <n v="441041.67"/>
    <n v="500000"/>
    <m/>
    <n v="105608.33"/>
    <n v="941041.66999999993"/>
    <n v="0"/>
    <m/>
    <n v="0"/>
  </r>
  <r>
    <x v="142"/>
    <s v="Caisse d'Épargne"/>
    <d v="2014-12-31T00:00:00"/>
    <d v="2034-12-31T00:00:00"/>
    <n v="20"/>
    <s v="Fixe"/>
    <s v="Non_st"/>
    <x v="15"/>
    <n v="1"/>
    <m/>
    <m/>
    <m/>
    <m/>
    <m/>
    <n v="9500000"/>
    <n v="4.2299999999999997E-2"/>
    <n v="423805.56"/>
    <n v="500000"/>
    <m/>
    <n v="0"/>
    <n v="923805.56"/>
    <n v="0"/>
    <m/>
    <n v="0"/>
  </r>
  <r>
    <x v="143"/>
    <s v="Crédit Foncier"/>
    <d v="2015-02-13T00:00:00"/>
    <d v="2030-02-13T00:00:00"/>
    <n v="15"/>
    <s v="Fixe"/>
    <s v="Non_st"/>
    <x v="15"/>
    <n v="1"/>
    <m/>
    <m/>
    <m/>
    <m/>
    <m/>
    <n v="5000000"/>
    <n v="3.7100000000000001E-2"/>
    <n v="0"/>
    <n v="0"/>
    <m/>
    <n v="163578.07999999999"/>
    <n v="0"/>
    <n v="0"/>
    <m/>
    <n v="0"/>
  </r>
  <r>
    <x v="144"/>
    <s v="Dexia CL"/>
    <d v="2015-05-01T00:00:00"/>
    <d v="2035-05-01T00:00:00"/>
    <n v="20"/>
    <s v="Fixe"/>
    <s v="Restr_aidé"/>
    <x v="15"/>
    <n v="1"/>
    <m/>
    <m/>
    <m/>
    <m/>
    <m/>
    <n v="17761140"/>
    <n v="3.5000000000000003E-2"/>
    <n v="0"/>
    <n v="0"/>
    <m/>
    <n v="416518.47"/>
    <n v="0"/>
    <n v="0"/>
    <m/>
    <n v="0"/>
  </r>
  <r>
    <x v="145"/>
    <s v="Dexia CL"/>
    <d v="2015-12-01T00:00:00"/>
    <d v="2040-12-01T00:00:00"/>
    <n v="25"/>
    <s v="Fixe"/>
    <s v="Restr_sec"/>
    <x v="15"/>
    <n v="1"/>
    <m/>
    <m/>
    <m/>
    <m/>
    <m/>
    <n v="9000000"/>
    <n v="3.27E-2"/>
    <n v="0"/>
    <n v="0"/>
    <m/>
    <n v="24225"/>
    <n v="0"/>
    <n v="0"/>
    <m/>
    <n v="0"/>
  </r>
  <r>
    <x v="146"/>
    <s v="CDC"/>
    <d v="2016-01-01T00:00:00"/>
    <d v="2031-01-01T00:00:00"/>
    <n v="15"/>
    <s v="Livret A"/>
    <s v="Livr_A"/>
    <x v="15"/>
    <n v="0"/>
    <m/>
    <m/>
    <m/>
    <m/>
    <m/>
    <m/>
    <m/>
    <m/>
    <m/>
    <m/>
    <m/>
    <m/>
    <s v=""/>
    <m/>
    <n v="0"/>
  </r>
  <r>
    <x v="147"/>
    <s v="Arkea"/>
    <d v="2016-02-08T00:00:00"/>
    <d v="2036-01-30T00:00:00"/>
    <n v="20"/>
    <s v="Fixe"/>
    <s v="Non_st"/>
    <x v="15"/>
    <n v="0"/>
    <m/>
    <m/>
    <m/>
    <m/>
    <m/>
    <m/>
    <m/>
    <m/>
    <m/>
    <m/>
    <m/>
    <m/>
    <s v=""/>
    <m/>
    <n v="0"/>
  </r>
  <r>
    <x v="148"/>
    <s v="Dexia CL"/>
    <d v="2016-10-01T00:00:00"/>
    <d v="2036-07-01T00:00:00"/>
    <n v="19.75"/>
    <s v="Fixe"/>
    <s v="Restr_aidé"/>
    <x v="15"/>
    <n v="0"/>
    <m/>
    <m/>
    <m/>
    <m/>
    <m/>
    <m/>
    <m/>
    <m/>
    <m/>
    <m/>
    <m/>
    <m/>
    <s v=""/>
    <m/>
    <n v="0"/>
  </r>
  <r>
    <x v="149"/>
    <s v="Dexia CL"/>
    <d v="2016-10-01T00:00:00"/>
    <d v="2036-07-01T00:00:00"/>
    <n v="19.75"/>
    <s v="Fixe"/>
    <s v="Non_st"/>
    <x v="15"/>
    <n v="0"/>
    <m/>
    <m/>
    <m/>
    <m/>
    <m/>
    <m/>
    <m/>
    <m/>
    <m/>
    <m/>
    <m/>
    <m/>
    <s v=""/>
    <m/>
    <n v="0"/>
  </r>
  <r>
    <x v="150"/>
    <s v="Dexia CL"/>
    <d v="2016-11-01T00:00:00"/>
    <d v="2035-12-01T00:00:00"/>
    <n v="19.079999999999998"/>
    <s v="Fixe"/>
    <s v="Restr_aidé"/>
    <x v="15"/>
    <n v="0"/>
    <m/>
    <m/>
    <m/>
    <m/>
    <m/>
    <m/>
    <m/>
    <m/>
    <m/>
    <m/>
    <m/>
    <m/>
    <s v=""/>
    <m/>
    <n v="0"/>
  </r>
  <r>
    <x v="151"/>
    <s v="Dexia CL"/>
    <d v="2016-11-01T00:00:00"/>
    <d v="2035-11-01T00:00:00"/>
    <n v="19"/>
    <s v="Fixe"/>
    <s v="Non_st"/>
    <x v="15"/>
    <n v="0"/>
    <m/>
    <m/>
    <m/>
    <m/>
    <m/>
    <m/>
    <m/>
    <m/>
    <m/>
    <m/>
    <m/>
    <m/>
    <s v=""/>
    <m/>
    <n v="0"/>
  </r>
  <r>
    <x v="12"/>
    <s v="Crédit Mutuel"/>
    <d v="2001-02-28T00:00:00"/>
    <d v="2016-02-29T00:00:00"/>
    <n v="15"/>
    <s v="Fixe"/>
    <s v="Non_st"/>
    <x v="16"/>
    <n v="1"/>
    <m/>
    <m/>
    <d v="2002-02-28T00:00:00"/>
    <d v="2004-02-28T00:00:00"/>
    <m/>
    <n v="0"/>
    <n v="2.8000000000000001E-2"/>
    <n v="1314.81"/>
    <n v="46907.39"/>
    <m/>
    <n v="0"/>
    <n v="48222.2"/>
    <n v="0"/>
    <m/>
    <n v="0"/>
  </r>
  <r>
    <x v="14"/>
    <s v="CDC"/>
    <d v="2001-04-25T00:00:00"/>
    <d v="2004-04-25T00:00:00"/>
    <n v="3"/>
    <s v="Fixe"/>
    <s v="Non_st"/>
    <x v="16"/>
    <n v="1"/>
    <m/>
    <m/>
    <m/>
    <m/>
    <m/>
    <m/>
    <m/>
    <m/>
    <m/>
    <m/>
    <m/>
    <m/>
    <s v=""/>
    <m/>
    <n v="0"/>
  </r>
  <r>
    <x v="16"/>
    <s v="Dexia CL"/>
    <d v="2001-11-26T00:00:00"/>
    <d v="2006-03-01T00:00:00"/>
    <n v="20"/>
    <s v="Annulable"/>
    <s v="Struct"/>
    <x v="16"/>
    <n v="1"/>
    <m/>
    <m/>
    <m/>
    <m/>
    <m/>
    <m/>
    <m/>
    <m/>
    <m/>
    <m/>
    <m/>
    <m/>
    <s v=""/>
    <m/>
    <n v="0"/>
  </r>
  <r>
    <x v="17"/>
    <s v="CDC"/>
    <d v="2002-01-25T00:00:00"/>
    <d v="2009-01-25T00:00:00"/>
    <n v="7"/>
    <s v="Fixe"/>
    <s v="Non_st"/>
    <x v="16"/>
    <n v="1"/>
    <m/>
    <m/>
    <m/>
    <m/>
    <m/>
    <m/>
    <m/>
    <m/>
    <m/>
    <m/>
    <m/>
    <m/>
    <s v=""/>
    <m/>
    <n v="0"/>
  </r>
  <r>
    <x v="18"/>
    <s v="CDC"/>
    <d v="2002-02-01T00:00:00"/>
    <d v="2022-02-01T00:00:00"/>
    <n v="20"/>
    <s v="Livret A"/>
    <s v="Livr_A"/>
    <x v="16"/>
    <n v="1"/>
    <m/>
    <m/>
    <d v="2003-02-01T00:00:00"/>
    <d v="2003-02-01T00:00:00"/>
    <n v="2137796"/>
    <n v="742919"/>
    <n v="7.7000000000000002E-3"/>
    <n v="8624.84"/>
    <n v="119564.61"/>
    <m/>
    <n v="5092.09"/>
    <n v="128189.45"/>
    <n v="0"/>
    <m/>
    <n v="0"/>
  </r>
  <r>
    <x v="19"/>
    <s v="CDC"/>
    <d v="2002-04-01T00:00:00"/>
    <d v="2022-04-01T00:00:00"/>
    <n v="20"/>
    <s v="Livret A"/>
    <s v="Livr_A"/>
    <x v="16"/>
    <n v="1"/>
    <m/>
    <m/>
    <m/>
    <m/>
    <m/>
    <m/>
    <m/>
    <m/>
    <m/>
    <m/>
    <m/>
    <m/>
    <s v=""/>
    <m/>
    <n v="0"/>
  </r>
  <r>
    <x v="20"/>
    <s v="Crédit Agricole"/>
    <d v="2002-04-15T00:00:00"/>
    <d v="2017-04-18T00:00:00"/>
    <n v="15"/>
    <s v="Barrière hors zone EUR"/>
    <s v="Struct"/>
    <x v="16"/>
    <n v="1"/>
    <m/>
    <m/>
    <d v="2003-04-15T00:00:00"/>
    <d v="2003-04-15T00:00:00"/>
    <m/>
    <n v="1098793"/>
    <n v="0"/>
    <n v="0"/>
    <n v="1061548.9099999999"/>
    <m/>
    <n v="0"/>
    <n v="1061548.9099999999"/>
    <n v="0"/>
    <m/>
    <n v="0"/>
  </r>
  <r>
    <x v="21"/>
    <s v="Dexia CL"/>
    <d v="2002-05-01T00:00:00"/>
    <d v="2004-04-10T00:00:00"/>
    <n v="17"/>
    <s v="Barrière"/>
    <s v="Struct"/>
    <x v="16"/>
    <n v="1"/>
    <m/>
    <m/>
    <m/>
    <m/>
    <m/>
    <m/>
    <m/>
    <m/>
    <m/>
    <m/>
    <m/>
    <m/>
    <s v=""/>
    <m/>
    <n v="0"/>
  </r>
  <r>
    <x v="22"/>
    <s v="Dexia CL"/>
    <d v="2002-05-01T00:00:00"/>
    <d v="2005-07-01T00:00:00"/>
    <n v="19.25"/>
    <s v="Barrière hors zone EUR"/>
    <s v="Struct"/>
    <x v="16"/>
    <n v="1"/>
    <m/>
    <m/>
    <m/>
    <m/>
    <m/>
    <m/>
    <m/>
    <m/>
    <m/>
    <m/>
    <m/>
    <m/>
    <s v=""/>
    <m/>
    <n v="0"/>
  </r>
  <r>
    <x v="23"/>
    <s v="Dexia CL"/>
    <d v="2002-05-01T00:00:00"/>
    <d v="2004-04-10T00:00:00"/>
    <n v="19.25"/>
    <s v="Barrière hors zone EUR"/>
    <s v="Struct"/>
    <x v="16"/>
    <n v="1"/>
    <m/>
    <m/>
    <m/>
    <m/>
    <m/>
    <m/>
    <m/>
    <m/>
    <m/>
    <m/>
    <m/>
    <m/>
    <s v=""/>
    <m/>
    <n v="0"/>
  </r>
  <r>
    <x v="25"/>
    <s v="Dexia CL"/>
    <d v="2002-05-01T00:00:00"/>
    <d v="2004-07-25T00:00:00"/>
    <n v="8"/>
    <s v="Variable hors zone EUR"/>
    <s v="Struct"/>
    <x v="16"/>
    <n v="1"/>
    <m/>
    <m/>
    <m/>
    <m/>
    <m/>
    <m/>
    <m/>
    <m/>
    <m/>
    <m/>
    <m/>
    <m/>
    <s v=""/>
    <m/>
    <n v="0"/>
  </r>
  <r>
    <x v="26"/>
    <s v="CDC"/>
    <d v="2002-10-01T00:00:00"/>
    <d v="2002-10-01T00:00:00"/>
    <n v="20"/>
    <s v="Livret A"/>
    <s v="Livr_A"/>
    <x v="16"/>
    <n v="1"/>
    <m/>
    <m/>
    <m/>
    <m/>
    <m/>
    <m/>
    <m/>
    <m/>
    <m/>
    <m/>
    <m/>
    <m/>
    <s v=""/>
    <m/>
    <n v="0"/>
  </r>
  <r>
    <x v="27"/>
    <s v="Dexia CL"/>
    <d v="2002-10-04T00:00:00"/>
    <d v="2004-07-25T00:00:00"/>
    <n v="20"/>
    <s v="Fixe"/>
    <s v="Non_st"/>
    <x v="16"/>
    <n v="1"/>
    <m/>
    <m/>
    <m/>
    <m/>
    <m/>
    <m/>
    <m/>
    <m/>
    <m/>
    <m/>
    <m/>
    <m/>
    <s v=""/>
    <m/>
    <n v="0"/>
  </r>
  <r>
    <x v="28"/>
    <s v="CDC"/>
    <d v="2002-12-31T00:00:00"/>
    <d v="2023-01-01T00:00:00"/>
    <n v="20"/>
    <s v="Livret A"/>
    <s v="Livr_A"/>
    <x v="16"/>
    <n v="1"/>
    <m/>
    <m/>
    <m/>
    <m/>
    <m/>
    <m/>
    <m/>
    <m/>
    <m/>
    <m/>
    <m/>
    <m/>
    <s v=""/>
    <m/>
    <n v="0"/>
  </r>
  <r>
    <x v="31"/>
    <s v="Dexia CL"/>
    <d v="2003-03-01T00:00:00"/>
    <d v="2005-04-01T00:00:00"/>
    <n v="15"/>
    <s v="Barrière"/>
    <s v="Struct"/>
    <x v="16"/>
    <n v="1"/>
    <m/>
    <m/>
    <m/>
    <m/>
    <m/>
    <m/>
    <m/>
    <m/>
    <m/>
    <m/>
    <m/>
    <m/>
    <s v=""/>
    <m/>
    <n v="0"/>
  </r>
  <r>
    <x v="32"/>
    <s v="Dexia CL"/>
    <d v="2003-05-01T00:00:00"/>
    <d v="2005-04-01T00:00:00"/>
    <n v="8"/>
    <s v="Barrière"/>
    <s v="Struct"/>
    <x v="16"/>
    <n v="1"/>
    <m/>
    <m/>
    <m/>
    <m/>
    <m/>
    <m/>
    <m/>
    <m/>
    <m/>
    <m/>
    <m/>
    <m/>
    <s v=""/>
    <m/>
    <n v="0"/>
  </r>
  <r>
    <x v="34"/>
    <s v="Dexia CL"/>
    <d v="2003-05-31T00:00:00"/>
    <d v="2005-04-01T00:00:00"/>
    <n v="20"/>
    <s v="Barrière"/>
    <s v="Struct"/>
    <x v="16"/>
    <n v="1"/>
    <m/>
    <m/>
    <m/>
    <m/>
    <m/>
    <m/>
    <m/>
    <m/>
    <m/>
    <m/>
    <m/>
    <m/>
    <s v=""/>
    <m/>
    <n v="0"/>
  </r>
  <r>
    <x v="35"/>
    <s v="Caisse d'Épargne"/>
    <d v="2003-07-01T00:00:00"/>
    <d v="2006-02-25T00:00:00"/>
    <n v="20"/>
    <s v="Barrière hors zone EUR"/>
    <s v="Struct"/>
    <x v="16"/>
    <n v="1"/>
    <m/>
    <m/>
    <m/>
    <m/>
    <m/>
    <m/>
    <m/>
    <m/>
    <m/>
    <m/>
    <m/>
    <m/>
    <s v=""/>
    <m/>
    <n v="0"/>
  </r>
  <r>
    <x v="37"/>
    <s v="Caisse d'Épargne"/>
    <d v="2003-09-01T00:00:00"/>
    <d v="2006-09-01T00:00:00"/>
    <n v="3"/>
    <s v="Fixe"/>
    <s v="Non_st"/>
    <x v="16"/>
    <n v="1"/>
    <m/>
    <m/>
    <m/>
    <m/>
    <m/>
    <m/>
    <m/>
    <m/>
    <m/>
    <m/>
    <m/>
    <m/>
    <s v=""/>
    <m/>
    <n v="0"/>
  </r>
  <r>
    <x v="38"/>
    <s v="Caisse d'Épargne"/>
    <d v="2004-02-05T00:00:00"/>
    <d v="2011-06-25T00:00:00"/>
    <n v="7"/>
    <s v="Fixe"/>
    <s v="Non_st"/>
    <x v="16"/>
    <n v="1"/>
    <m/>
    <m/>
    <m/>
    <m/>
    <m/>
    <m/>
    <m/>
    <m/>
    <m/>
    <m/>
    <m/>
    <m/>
    <s v=""/>
    <m/>
    <n v="0"/>
  </r>
  <r>
    <x v="39"/>
    <s v="Dexia CL"/>
    <d v="2004-03-31T00:00:00"/>
    <d v="2007-04-01T00:00:00"/>
    <n v="3"/>
    <s v="Fixe"/>
    <s v="Non_st"/>
    <x v="16"/>
    <n v="1"/>
    <m/>
    <m/>
    <m/>
    <m/>
    <m/>
    <m/>
    <m/>
    <m/>
    <m/>
    <m/>
    <m/>
    <m/>
    <s v=""/>
    <m/>
    <n v="0"/>
  </r>
  <r>
    <x v="40"/>
    <s v="Dexia CL"/>
    <d v="2004-04-10T00:00:00"/>
    <d v="2005-12-01T00:00:00"/>
    <n v="17.75"/>
    <s v="Barrière avec multiplicateur"/>
    <s v="Struct"/>
    <x v="16"/>
    <n v="1"/>
    <m/>
    <m/>
    <m/>
    <m/>
    <m/>
    <m/>
    <m/>
    <m/>
    <m/>
    <m/>
    <m/>
    <m/>
    <s v=""/>
    <m/>
    <n v="0"/>
  </r>
  <r>
    <x v="41"/>
    <s v="Dexia CL"/>
    <d v="2004-04-10T00:00:00"/>
    <d v="2005-07-01T00:00:00"/>
    <n v="15"/>
    <s v="Barrière hors zone EUR"/>
    <s v="Struct"/>
    <x v="16"/>
    <n v="1"/>
    <m/>
    <m/>
    <m/>
    <m/>
    <m/>
    <m/>
    <m/>
    <m/>
    <m/>
    <m/>
    <m/>
    <m/>
    <s v=""/>
    <m/>
    <n v="0"/>
  </r>
  <r>
    <x v="42"/>
    <s v="Dexia CL"/>
    <d v="2004-04-15T00:00:00"/>
    <d v="2005-04-01T00:00:00"/>
    <n v="15"/>
    <s v="Variable hors zone EUR"/>
    <s v="Struct"/>
    <x v="16"/>
    <n v="1"/>
    <m/>
    <m/>
    <m/>
    <m/>
    <m/>
    <m/>
    <m/>
    <m/>
    <m/>
    <m/>
    <m/>
    <m/>
    <s v=""/>
    <m/>
    <n v="0"/>
  </r>
  <r>
    <x v="43"/>
    <s v="Dexia CL"/>
    <d v="2004-04-29T00:00:00"/>
    <d v="2007-05-01T00:00:00"/>
    <n v="21"/>
    <s v="Barrière"/>
    <s v="Struct"/>
    <x v="16"/>
    <n v="1"/>
    <m/>
    <m/>
    <m/>
    <m/>
    <m/>
    <m/>
    <m/>
    <m/>
    <m/>
    <m/>
    <m/>
    <m/>
    <s v=""/>
    <m/>
    <n v="0"/>
  </r>
  <r>
    <x v="44"/>
    <s v="Dexia CL"/>
    <d v="2004-06-15T00:00:00"/>
    <d v="2005-02-01T00:00:00"/>
    <n v="10"/>
    <s v="Change"/>
    <s v="Struct"/>
    <x v="16"/>
    <n v="1"/>
    <m/>
    <m/>
    <m/>
    <m/>
    <m/>
    <m/>
    <m/>
    <m/>
    <m/>
    <m/>
    <m/>
    <m/>
    <s v=""/>
    <m/>
    <n v="0"/>
  </r>
  <r>
    <x v="45"/>
    <s v="Dexia CL"/>
    <d v="2004-07-25T00:00:00"/>
    <d v="2006-03-01T00:00:00"/>
    <n v="18"/>
    <s v="Pente"/>
    <s v="Struct"/>
    <x v="16"/>
    <n v="1"/>
    <m/>
    <m/>
    <m/>
    <m/>
    <m/>
    <m/>
    <m/>
    <m/>
    <m/>
    <m/>
    <m/>
    <m/>
    <s v=""/>
    <m/>
    <n v="0"/>
  </r>
  <r>
    <x v="47"/>
    <s v="Dexia CL"/>
    <d v="2005-02-23T00:00:00"/>
    <d v="2007-02-01T00:00:00"/>
    <n v="17"/>
    <s v="Barrière avec multiplicateur"/>
    <s v="Struct"/>
    <x v="16"/>
    <n v="1"/>
    <m/>
    <m/>
    <m/>
    <m/>
    <m/>
    <m/>
    <m/>
    <m/>
    <m/>
    <m/>
    <m/>
    <m/>
    <s v=""/>
    <m/>
    <n v="0"/>
  </r>
  <r>
    <x v="48"/>
    <s v="Dexia CL"/>
    <d v="2005-02-23T00:00:00"/>
    <d v="2007-05-01T00:00:00"/>
    <n v="15"/>
    <s v="Variable hors zone EUR"/>
    <s v="Struct"/>
    <x v="16"/>
    <n v="1"/>
    <m/>
    <m/>
    <m/>
    <m/>
    <m/>
    <m/>
    <m/>
    <m/>
    <m/>
    <m/>
    <m/>
    <m/>
    <s v=""/>
    <m/>
    <n v="0"/>
  </r>
  <r>
    <x v="49"/>
    <s v="Crédit Mutuel"/>
    <d v="2005-03-24T00:00:00"/>
    <d v="2010-03-23T00:00:00"/>
    <n v="5"/>
    <s v="Fixe"/>
    <s v="Non_st"/>
    <x v="16"/>
    <n v="1"/>
    <m/>
    <m/>
    <m/>
    <m/>
    <m/>
    <m/>
    <m/>
    <m/>
    <m/>
    <m/>
    <m/>
    <m/>
    <s v=""/>
    <m/>
    <n v="0"/>
  </r>
  <r>
    <x v="50"/>
    <s v="Dexia CL"/>
    <d v="2005-04-01T00:00:00"/>
    <d v="2006-07-01T00:00:00"/>
    <n v="19"/>
    <s v="Change"/>
    <s v="Struct"/>
    <x v="16"/>
    <n v="1"/>
    <m/>
    <m/>
    <m/>
    <m/>
    <m/>
    <m/>
    <m/>
    <m/>
    <m/>
    <m/>
    <m/>
    <m/>
    <s v=""/>
    <m/>
    <n v="0"/>
  </r>
  <r>
    <x v="51"/>
    <s v="Dexia CL"/>
    <d v="2005-04-01T00:00:00"/>
    <d v="2007-05-01T00:00:00"/>
    <n v="15"/>
    <s v="Change"/>
    <s v="Struct"/>
    <x v="16"/>
    <n v="1"/>
    <m/>
    <m/>
    <m/>
    <m/>
    <m/>
    <m/>
    <m/>
    <m/>
    <m/>
    <m/>
    <m/>
    <m/>
    <s v=""/>
    <m/>
    <n v="0"/>
  </r>
  <r>
    <x v="52"/>
    <s v="CDC"/>
    <d v="2005-05-01T00:00:00"/>
    <d v="2011-04-30T00:00:00"/>
    <n v="6"/>
    <s v="Variable"/>
    <s v="Non_st"/>
    <x v="16"/>
    <n v="1"/>
    <m/>
    <m/>
    <m/>
    <m/>
    <m/>
    <m/>
    <m/>
    <m/>
    <m/>
    <m/>
    <m/>
    <m/>
    <s v=""/>
    <m/>
    <n v="0"/>
  </r>
  <r>
    <x v="53"/>
    <s v="CDC"/>
    <d v="2005-05-01T00:00:00"/>
    <d v="2013-04-29T00:00:00"/>
    <n v="8"/>
    <s v="Variable"/>
    <s v="Non_st"/>
    <x v="16"/>
    <n v="1"/>
    <m/>
    <m/>
    <m/>
    <m/>
    <m/>
    <m/>
    <m/>
    <m/>
    <m/>
    <m/>
    <m/>
    <m/>
    <s v=""/>
    <m/>
    <n v="0"/>
  </r>
  <r>
    <x v="54"/>
    <s v="Dexia CL"/>
    <d v="2005-06-01T00:00:00"/>
    <d v="2006-03-29T00:00:00"/>
    <n v="17.25"/>
    <s v="Change"/>
    <s v="Struct"/>
    <x v="16"/>
    <n v="1"/>
    <m/>
    <m/>
    <m/>
    <m/>
    <m/>
    <m/>
    <m/>
    <m/>
    <m/>
    <m/>
    <m/>
    <m/>
    <s v=""/>
    <m/>
    <n v="0"/>
  </r>
  <r>
    <x v="55"/>
    <s v="Dexia CL"/>
    <d v="2005-07-01T00:00:00"/>
    <d v="2006-07-01T00:00:00"/>
    <n v="16"/>
    <s v="Pente"/>
    <s v="Struct"/>
    <x v="16"/>
    <n v="1"/>
    <m/>
    <m/>
    <m/>
    <m/>
    <m/>
    <m/>
    <m/>
    <m/>
    <m/>
    <m/>
    <m/>
    <m/>
    <s v=""/>
    <m/>
    <n v="0"/>
  </r>
  <r>
    <x v="56"/>
    <s v="Dexia CL"/>
    <d v="2005-12-01T00:00:00"/>
    <d v="2006-03-29T00:00:00"/>
    <n v="16"/>
    <s v="Pente"/>
    <s v="Struct"/>
    <x v="16"/>
    <n v="1"/>
    <m/>
    <m/>
    <m/>
    <m/>
    <m/>
    <m/>
    <m/>
    <m/>
    <m/>
    <m/>
    <m/>
    <m/>
    <s v=""/>
    <m/>
    <n v="0"/>
  </r>
  <r>
    <x v="57"/>
    <s v="Dexia CL"/>
    <d v="2005-12-23T00:00:00"/>
    <d v="2007-05-01T00:00:00"/>
    <n v="18.170000000000002"/>
    <s v="Pente"/>
    <s v="Struct"/>
    <x v="16"/>
    <n v="1"/>
    <m/>
    <m/>
    <m/>
    <m/>
    <m/>
    <m/>
    <m/>
    <m/>
    <m/>
    <m/>
    <m/>
    <m/>
    <s v=""/>
    <m/>
    <n v="0"/>
  </r>
  <r>
    <x v="60"/>
    <s v="Crédit Agricole"/>
    <d v="2006-03-06T00:00:00"/>
    <d v="2021-03-02T00:00:00"/>
    <n v="15"/>
    <s v="Barrière"/>
    <s v="Struct"/>
    <x v="16"/>
    <n v="1"/>
    <m/>
    <m/>
    <m/>
    <m/>
    <m/>
    <m/>
    <m/>
    <m/>
    <m/>
    <m/>
    <m/>
    <m/>
    <s v=""/>
    <m/>
    <n v="0"/>
  </r>
  <r>
    <x v="61"/>
    <s v="Crédit Agricole"/>
    <d v="2006-03-06T00:00:00"/>
    <d v="2021-03-06T00:00:00"/>
    <n v="15"/>
    <s v="Fixe"/>
    <s v="Non_st"/>
    <x v="16"/>
    <n v="1"/>
    <m/>
    <m/>
    <m/>
    <m/>
    <m/>
    <n v="1970163"/>
    <n v="3.2199999999999999E-2"/>
    <n v="159460.59"/>
    <n v="353714.14"/>
    <n v="-84354.21"/>
    <n v="58244.59"/>
    <n v="428820.51999999996"/>
    <n v="0"/>
    <m/>
    <n v="0"/>
  </r>
  <r>
    <x v="63"/>
    <s v="Dexia CL"/>
    <d v="2006-07-01T00:00:00"/>
    <d v="2011-07-13T00:00:00"/>
    <n v="20"/>
    <s v="Change"/>
    <s v="Struct"/>
    <x v="16"/>
    <n v="1"/>
    <m/>
    <m/>
    <m/>
    <m/>
    <m/>
    <m/>
    <m/>
    <m/>
    <m/>
    <m/>
    <m/>
    <m/>
    <s v=""/>
    <m/>
    <n v="0"/>
  </r>
  <r>
    <x v="65"/>
    <s v="Dexia CL"/>
    <d v="2006-10-01T00:00:00"/>
    <d v="2009-10-01T00:00:00"/>
    <n v="19"/>
    <s v="Change"/>
    <s v="Struct"/>
    <x v="16"/>
    <n v="1"/>
    <m/>
    <m/>
    <m/>
    <m/>
    <m/>
    <m/>
    <m/>
    <m/>
    <m/>
    <m/>
    <m/>
    <m/>
    <s v=""/>
    <m/>
    <n v="0"/>
  </r>
  <r>
    <x v="66"/>
    <s v="Dexia CL"/>
    <d v="2006-10-01T00:00:00"/>
    <d v="2008-12-01T00:00:00"/>
    <n v="19.170000000000002"/>
    <s v="Change"/>
    <s v="Struct"/>
    <x v="16"/>
    <n v="1"/>
    <m/>
    <m/>
    <m/>
    <m/>
    <m/>
    <m/>
    <m/>
    <m/>
    <m/>
    <m/>
    <m/>
    <m/>
    <s v=""/>
    <m/>
    <n v="0"/>
  </r>
  <r>
    <x v="72"/>
    <s v="Dexia CL"/>
    <d v="2007-02-01T00:00:00"/>
    <d v="2008-08-08T00:00:00"/>
    <n v="18.75"/>
    <s v="Change"/>
    <s v="Struct"/>
    <x v="16"/>
    <n v="1"/>
    <m/>
    <m/>
    <m/>
    <m/>
    <m/>
    <m/>
    <m/>
    <m/>
    <m/>
    <m/>
    <m/>
    <m/>
    <s v=""/>
    <m/>
    <n v="0"/>
  </r>
  <r>
    <x v="73"/>
    <s v="Crédit Agricole"/>
    <d v="2007-04-10T00:00:00"/>
    <d v="2028-03-01T00:00:00"/>
    <n v="20"/>
    <s v="Pente"/>
    <s v="Struct"/>
    <x v="16"/>
    <n v="1"/>
    <m/>
    <m/>
    <m/>
    <m/>
    <m/>
    <n v="3321838"/>
    <n v="3.5499999999999997E-2"/>
    <n v="123234.21"/>
    <n v="225063.8"/>
    <m/>
    <n v="9688.69"/>
    <n v="348298.01"/>
    <n v="0"/>
    <m/>
    <n v="0"/>
  </r>
  <r>
    <x v="74"/>
    <s v="Dexia CL"/>
    <d v="2007-05-01T00:00:00"/>
    <d v="2009-12-29T00:00:00"/>
    <n v="17"/>
    <s v="Courbes"/>
    <s v="Struct"/>
    <x v="16"/>
    <n v="1"/>
    <m/>
    <m/>
    <m/>
    <m/>
    <m/>
    <m/>
    <m/>
    <m/>
    <m/>
    <m/>
    <m/>
    <m/>
    <s v=""/>
    <m/>
    <n v="0"/>
  </r>
  <r>
    <x v="75"/>
    <s v="Dexia CL"/>
    <d v="2007-05-01T00:00:00"/>
    <d v="2009-12-29T00:00:00"/>
    <n v="16.920000000000002"/>
    <s v="Écart d'inflation"/>
    <s v="Struct"/>
    <x v="16"/>
    <n v="1"/>
    <m/>
    <m/>
    <m/>
    <m/>
    <m/>
    <m/>
    <m/>
    <m/>
    <m/>
    <m/>
    <m/>
    <m/>
    <s v=""/>
    <m/>
    <n v="0"/>
  </r>
  <r>
    <x v="76"/>
    <s v="Société générale"/>
    <d v="2007-05-24T00:00:00"/>
    <d v="2009-04-01T00:00:00"/>
    <n v="19"/>
    <s v="Change"/>
    <s v="Struct"/>
    <x v="16"/>
    <n v="1"/>
    <m/>
    <m/>
    <m/>
    <m/>
    <m/>
    <m/>
    <m/>
    <m/>
    <m/>
    <m/>
    <m/>
    <m/>
    <s v=""/>
    <m/>
    <n v="0"/>
  </r>
  <r>
    <x v="77"/>
    <s v="Caisse d'Épargne"/>
    <d v="2007-07-25T00:00:00"/>
    <d v="2012-02-25T00:00:00"/>
    <n v="18.579999999999998"/>
    <s v="Courbes"/>
    <s v="Struct"/>
    <x v="16"/>
    <n v="1"/>
    <m/>
    <m/>
    <m/>
    <m/>
    <m/>
    <m/>
    <m/>
    <m/>
    <m/>
    <m/>
    <m/>
    <m/>
    <s v=""/>
    <m/>
    <n v="0"/>
  </r>
  <r>
    <x v="80"/>
    <s v="Dexia CL"/>
    <d v="2007-09-25T00:00:00"/>
    <d v="2010-01-01T00:00:00"/>
    <n v="25.42"/>
    <s v="Barrière avec multiplicateur"/>
    <s v="Struct"/>
    <x v="16"/>
    <n v="1"/>
    <m/>
    <m/>
    <m/>
    <m/>
    <m/>
    <m/>
    <m/>
    <m/>
    <m/>
    <m/>
    <m/>
    <m/>
    <s v=""/>
    <m/>
    <n v="0"/>
  </r>
  <r>
    <x v="82"/>
    <s v="Caisse d'Épargne"/>
    <d v="2007-12-31T00:00:00"/>
    <d v="2013-02-25T00:00:00"/>
    <n v="20"/>
    <s v="Courbes"/>
    <s v="Struct"/>
    <x v="16"/>
    <n v="1"/>
    <m/>
    <m/>
    <m/>
    <m/>
    <m/>
    <m/>
    <m/>
    <m/>
    <m/>
    <m/>
    <m/>
    <m/>
    <s v=""/>
    <m/>
    <n v="0"/>
  </r>
  <r>
    <x v="86"/>
    <s v="Dexia CL"/>
    <d v="2009-12-29T00:00:00"/>
    <d v="2010-05-01T00:00:00"/>
    <n v="20.83"/>
    <s v="Courbes"/>
    <s v="Struct"/>
    <x v="16"/>
    <n v="1"/>
    <m/>
    <m/>
    <m/>
    <m/>
    <m/>
    <m/>
    <m/>
    <m/>
    <m/>
    <m/>
    <m/>
    <m/>
    <s v=""/>
    <m/>
    <n v="0"/>
  </r>
  <r>
    <x v="87"/>
    <s v="Dexia CL"/>
    <d v="2008-08-08T00:00:00"/>
    <d v="2011-11-01T00:00:00"/>
    <n v="25.33"/>
    <s v="Change"/>
    <s v="Struct"/>
    <x v="16"/>
    <n v="1"/>
    <m/>
    <m/>
    <m/>
    <m/>
    <m/>
    <m/>
    <m/>
    <m/>
    <m/>
    <m/>
    <m/>
    <m/>
    <s v=""/>
    <m/>
    <n v="0"/>
  </r>
  <r>
    <x v="88"/>
    <s v="Dexia CL"/>
    <d v="2008-08-08T00:00:00"/>
    <d v="2012-11-01T00:00:00"/>
    <n v="25.33"/>
    <s v="Change"/>
    <s v="Struct"/>
    <x v="16"/>
    <n v="1"/>
    <m/>
    <m/>
    <m/>
    <m/>
    <m/>
    <m/>
    <m/>
    <m/>
    <m/>
    <m/>
    <m/>
    <m/>
    <s v=""/>
    <m/>
    <n v="0"/>
  </r>
  <r>
    <x v="89"/>
    <s v="Dexia CL"/>
    <d v="2012-11-01T00:00:00"/>
    <d v="2017-11-01T00:00:00"/>
    <n v="25"/>
    <s v="Change"/>
    <s v="Struct"/>
    <x v="16"/>
    <n v="1"/>
    <m/>
    <m/>
    <m/>
    <m/>
    <m/>
    <n v="7731736"/>
    <n v="0.03"/>
    <n v="241249.21"/>
    <n v="284963.37"/>
    <m/>
    <n v="38143.230000000003"/>
    <n v="526212.57999999996"/>
    <n v="0"/>
    <m/>
    <n v="0"/>
  </r>
  <r>
    <x v="90"/>
    <s v="Dexia CL"/>
    <d v="2008-12-01T00:00:00"/>
    <d v="2010-12-01T00:00:00"/>
    <n v="17"/>
    <s v="Change"/>
    <s v="Struct"/>
    <x v="16"/>
    <n v="1"/>
    <m/>
    <m/>
    <m/>
    <m/>
    <m/>
    <m/>
    <m/>
    <m/>
    <m/>
    <m/>
    <m/>
    <m/>
    <s v=""/>
    <m/>
    <n v="0"/>
  </r>
  <r>
    <x v="91"/>
    <s v="Dexia CL"/>
    <d v="2008-12-01T00:00:00"/>
    <d v="2012-12-01T00:00:00"/>
    <n v="25"/>
    <s v="Pente"/>
    <s v="Struct"/>
    <x v="16"/>
    <n v="1"/>
    <m/>
    <m/>
    <m/>
    <m/>
    <m/>
    <m/>
    <m/>
    <m/>
    <m/>
    <m/>
    <m/>
    <m/>
    <s v=""/>
    <m/>
    <n v="0"/>
  </r>
  <r>
    <x v="93"/>
    <s v="Dexia CL"/>
    <d v="2009-03-27T00:00:00"/>
    <d v="2029-04-01T00:00:00"/>
    <n v="20"/>
    <s v="Fixe"/>
    <s v="Non_st"/>
    <x v="16"/>
    <n v="1"/>
    <m/>
    <m/>
    <m/>
    <m/>
    <m/>
    <n v="4344223"/>
    <n v="4.5400000000000003E-2"/>
    <n v="205135.68"/>
    <n v="254003.7"/>
    <m/>
    <n v="49195.91"/>
    <n v="459139.38"/>
    <n v="0"/>
    <m/>
    <n v="0"/>
  </r>
  <r>
    <x v="94"/>
    <s v="Société générale"/>
    <d v="2009-04-01T00:00:00"/>
    <d v="2010-10-01T00:00:00"/>
    <n v="18"/>
    <s v="Change"/>
    <s v="Struct"/>
    <x v="16"/>
    <n v="1"/>
    <m/>
    <m/>
    <m/>
    <m/>
    <m/>
    <m/>
    <m/>
    <m/>
    <m/>
    <m/>
    <m/>
    <m/>
    <s v=""/>
    <m/>
    <n v="0"/>
  </r>
  <r>
    <x v="95"/>
    <s v="Dexia CL"/>
    <d v="2009-10-01T00:00:00"/>
    <d v="2010-10-01T00:00:00"/>
    <n v="16"/>
    <s v="Change"/>
    <s v="Struct"/>
    <x v="16"/>
    <n v="1"/>
    <m/>
    <m/>
    <m/>
    <m/>
    <m/>
    <m/>
    <m/>
    <m/>
    <m/>
    <m/>
    <m/>
    <m/>
    <s v=""/>
    <m/>
    <n v="0"/>
  </r>
  <r>
    <x v="98"/>
    <s v="Dexia CL"/>
    <d v="2009-11-01T00:00:00"/>
    <d v="2017-11-01T00:00:00"/>
    <n v="23"/>
    <s v="Pente"/>
    <s v="Struct"/>
    <x v="16"/>
    <n v="1"/>
    <m/>
    <m/>
    <m/>
    <m/>
    <m/>
    <n v="9938300"/>
    <n v="3.7900000000000003E-2"/>
    <n v="400159.4"/>
    <n v="585748.06999999995"/>
    <m/>
    <n v="61948.74"/>
    <n v="985907.47"/>
    <n v="0"/>
    <m/>
    <n v="0"/>
  </r>
  <r>
    <x v="96"/>
    <s v="Dexia CL"/>
    <d v="2009-11-16T00:00:00"/>
    <d v="2011-12-01T00:00:00"/>
    <n v="25"/>
    <s v="Variable"/>
    <s v="Non_st"/>
    <x v="16"/>
    <n v="1"/>
    <m/>
    <m/>
    <m/>
    <m/>
    <m/>
    <m/>
    <m/>
    <m/>
    <m/>
    <m/>
    <m/>
    <m/>
    <s v=""/>
    <m/>
    <n v="0"/>
  </r>
  <r>
    <x v="99"/>
    <s v="Caisse d'Épargne"/>
    <d v="2009-11-25T00:00:00"/>
    <d v="2026-11-25T00:00:00"/>
    <n v="17"/>
    <s v="Fixe"/>
    <s v="Restr_sec"/>
    <x v="16"/>
    <n v="1"/>
    <m/>
    <m/>
    <m/>
    <m/>
    <m/>
    <n v="2924452"/>
    <n v="4.7699999999999999E-2"/>
    <n v="151248.91"/>
    <n v="240854.41"/>
    <m/>
    <n v="13744.93"/>
    <n v="392103.32"/>
    <n v="0"/>
    <m/>
    <n v="0"/>
  </r>
  <r>
    <x v="97"/>
    <s v="Arkea"/>
    <d v="2009-12-21T00:00:00"/>
    <d v="2030-10-30T00:00:00"/>
    <n v="20"/>
    <s v="Variable"/>
    <s v="Non_st"/>
    <x v="16"/>
    <n v="1"/>
    <m/>
    <m/>
    <m/>
    <m/>
    <m/>
    <n v="0"/>
    <n v="3.7000000000000002E-3"/>
    <n v="7181.87"/>
    <n v="7763255.7300000004"/>
    <m/>
    <n v="0"/>
    <n v="7770437.6000000006"/>
    <n v="0"/>
    <m/>
    <n v="0"/>
  </r>
  <r>
    <x v="100"/>
    <s v="Société générale"/>
    <d v="2010-10-01T00:00:00"/>
    <d v="2014-01-01T00:00:00"/>
    <n v="25"/>
    <s v="Barrière avec multiplicateur"/>
    <s v="Struct"/>
    <x v="16"/>
    <n v="1"/>
    <m/>
    <m/>
    <m/>
    <m/>
    <m/>
    <m/>
    <m/>
    <m/>
    <m/>
    <m/>
    <m/>
    <m/>
    <s v=""/>
    <m/>
    <n v="0"/>
  </r>
  <r>
    <x v="101"/>
    <s v="Dexia CL"/>
    <d v="2010-01-01T00:00:00"/>
    <d v="2011-11-01T00:00:00"/>
    <n v="23"/>
    <s v="Barrière avec multiplicateur"/>
    <s v="Struct"/>
    <x v="16"/>
    <n v="1"/>
    <m/>
    <m/>
    <m/>
    <m/>
    <m/>
    <m/>
    <m/>
    <m/>
    <m/>
    <m/>
    <m/>
    <m/>
    <s v=""/>
    <m/>
    <n v="0"/>
  </r>
  <r>
    <x v="102"/>
    <s v="Société générale"/>
    <d v="2010-10-01T00:00:00"/>
    <d v="2014-04-01T00:00:00"/>
    <n v="25"/>
    <s v="Barrière avec multiplicateur"/>
    <s v="Struct"/>
    <x v="16"/>
    <n v="1"/>
    <m/>
    <m/>
    <m/>
    <m/>
    <m/>
    <m/>
    <m/>
    <m/>
    <m/>
    <m/>
    <m/>
    <m/>
    <s v=""/>
    <m/>
    <n v="0"/>
  </r>
  <r>
    <x v="103"/>
    <s v="Dexia CL"/>
    <d v="2010-05-01T00:00:00"/>
    <d v="2011-07-13T00:00:00"/>
    <n v="19"/>
    <s v="Barrière avec multiplicateur"/>
    <s v="Struct"/>
    <x v="16"/>
    <n v="1"/>
    <m/>
    <m/>
    <m/>
    <m/>
    <m/>
    <m/>
    <m/>
    <m/>
    <m/>
    <m/>
    <m/>
    <m/>
    <s v=""/>
    <m/>
    <n v="0"/>
  </r>
  <r>
    <x v="104"/>
    <s v="Dexia CL"/>
    <d v="2010-10-01T00:00:00"/>
    <d v="2011-05-01T00:00:00"/>
    <n v="12"/>
    <s v="Change"/>
    <s v="Struct"/>
    <x v="16"/>
    <n v="1"/>
    <m/>
    <m/>
    <m/>
    <m/>
    <m/>
    <m/>
    <m/>
    <m/>
    <m/>
    <m/>
    <m/>
    <m/>
    <s v=""/>
    <m/>
    <n v="0"/>
  </r>
  <r>
    <x v="105"/>
    <s v="Dexia CL"/>
    <d v="2010-07-25T00:00:00"/>
    <d v="2025-09-01T00:00:00"/>
    <n v="15"/>
    <s v="Fixe"/>
    <s v="Non_st"/>
    <x v="16"/>
    <n v="1"/>
    <m/>
    <m/>
    <m/>
    <m/>
    <m/>
    <n v="466361"/>
    <n v="2.1299999999999999E-2"/>
    <n v="10623.33"/>
    <n v="47962.75"/>
    <m/>
    <n v="803.95"/>
    <n v="58586.080000000002"/>
    <n v="0"/>
    <m/>
    <n v="0"/>
  </r>
  <r>
    <x v="106"/>
    <s v="Société générale"/>
    <d v="2010-09-01T00:00:00"/>
    <d v="2030-12-01T00:00:00"/>
    <n v="20"/>
    <s v="Fixe"/>
    <s v="Restr_sec"/>
    <x v="16"/>
    <n v="1"/>
    <m/>
    <m/>
    <m/>
    <m/>
    <m/>
    <n v="1422056"/>
    <n v="4.3900000000000002E-2"/>
    <n v="64886.94"/>
    <n v="69103.740000000005"/>
    <m/>
    <n v="5131.25"/>
    <n v="133990.68"/>
    <n v="0"/>
    <m/>
    <n v="0"/>
  </r>
  <r>
    <x v="107"/>
    <s v="Dexia CL"/>
    <d v="2010-10-01T00:00:00"/>
    <d v="2012-05-01T00:00:00"/>
    <n v="15"/>
    <s v="Change"/>
    <s v="Struct"/>
    <x v="16"/>
    <n v="1"/>
    <m/>
    <m/>
    <m/>
    <m/>
    <m/>
    <m/>
    <m/>
    <m/>
    <m/>
    <m/>
    <m/>
    <m/>
    <s v=""/>
    <m/>
    <n v="0"/>
  </r>
  <r>
    <x v="108"/>
    <s v="Dexia CL"/>
    <d v="2010-12-01T00:00:00"/>
    <d v="2011-12-01T00:00:00"/>
    <n v="17"/>
    <s v="Change"/>
    <s v="Struct"/>
    <x v="16"/>
    <n v="1"/>
    <m/>
    <m/>
    <m/>
    <m/>
    <m/>
    <m/>
    <m/>
    <m/>
    <m/>
    <m/>
    <m/>
    <m/>
    <s v=""/>
    <m/>
    <n v="0"/>
  </r>
  <r>
    <x v="109"/>
    <s v="Société générale"/>
    <d v="2010-12-01T00:00:00"/>
    <d v="2030-12-01T00:00:00"/>
    <n v="20"/>
    <s v="Fixe"/>
    <s v="Restr_sec"/>
    <x v="16"/>
    <n v="1"/>
    <m/>
    <m/>
    <m/>
    <m/>
    <m/>
    <n v="2043071"/>
    <n v="4.3900000000000002E-2"/>
    <n v="94309.92"/>
    <n v="99281.49"/>
    <m/>
    <n v="7372.08"/>
    <n v="193591.41"/>
    <n v="0"/>
    <m/>
    <n v="0"/>
  </r>
  <r>
    <x v="83"/>
    <s v="Société générale"/>
    <d v="2010-12-18T00:00:00"/>
    <d v="2026-03-31T00:00:00"/>
    <n v="15"/>
    <s v="Variable"/>
    <s v="Non_st"/>
    <x v="16"/>
    <n v="1"/>
    <m/>
    <m/>
    <m/>
    <m/>
    <m/>
    <n v="5618195"/>
    <n v="6.3E-3"/>
    <n v="37179.9"/>
    <n v="465208.92"/>
    <m/>
    <n v="0"/>
    <n v="502388.82"/>
    <n v="0"/>
    <m/>
    <n v="0"/>
  </r>
  <r>
    <x v="110"/>
    <s v="Dexia CL"/>
    <d v="2011-04-01T00:00:00"/>
    <d v="2014-05-01T00:00:00"/>
    <n v="25"/>
    <s v="Barrière avec multiplicateur"/>
    <s v="Struct"/>
    <x v="16"/>
    <n v="1"/>
    <m/>
    <m/>
    <m/>
    <m/>
    <m/>
    <m/>
    <m/>
    <m/>
    <m/>
    <m/>
    <m/>
    <m/>
    <s v=""/>
    <m/>
    <n v="0"/>
  </r>
  <r>
    <x v="111"/>
    <s v="Dexia CL"/>
    <d v="2011-07-01T00:00:00"/>
    <d v="2036-05-01T00:00:00"/>
    <n v="25"/>
    <s v="Barrière avec multiplicateur"/>
    <s v="Struct"/>
    <x v="16"/>
    <n v="1"/>
    <m/>
    <m/>
    <m/>
    <m/>
    <m/>
    <n v="12863982"/>
    <n v="4.0500000000000001E-2"/>
    <n v="536857.36"/>
    <n v="370514.4"/>
    <m/>
    <n v="347884.97"/>
    <n v="907371.76"/>
    <n v="0"/>
    <m/>
    <n v="0"/>
  </r>
  <r>
    <x v="84"/>
    <s v="Dexia CL"/>
    <d v="2011-07-13T00:00:00"/>
    <d v="2016-10-01T00:00:00"/>
    <n v="15"/>
    <s v="Change"/>
    <s v="Struct"/>
    <x v="16"/>
    <n v="1"/>
    <m/>
    <m/>
    <m/>
    <m/>
    <m/>
    <n v="0"/>
    <n v="3.9899999999999998E-2"/>
    <n v="556132.42000000004"/>
    <n v="792150.25"/>
    <m/>
    <n v="0"/>
    <n v="1348282.67"/>
    <n v="0"/>
    <m/>
    <n v="10462000"/>
  </r>
  <r>
    <x v="112"/>
    <s v="Caisse d'Épargne"/>
    <d v="2011-07-08T00:00:00"/>
    <d v="2027-05-29T00:00:00"/>
    <n v="15"/>
    <s v="Variable"/>
    <s v="Non_st"/>
    <x v="16"/>
    <n v="1"/>
    <m/>
    <m/>
    <m/>
    <m/>
    <m/>
    <n v="3868399"/>
    <n v="9.7999999999999997E-3"/>
    <n v="40247.24"/>
    <n v="273770.18"/>
    <m/>
    <n v="3179.27"/>
    <n v="314017.42"/>
    <n v="0"/>
    <m/>
    <n v="0"/>
  </r>
  <r>
    <x v="113"/>
    <s v="Caisse d'Épargne"/>
    <d v="2011-07-08T00:00:00"/>
    <d v="2027-05-29T00:00:00"/>
    <n v="15"/>
    <s v="Variable"/>
    <s v="Non_st"/>
    <x v="16"/>
    <n v="1"/>
    <m/>
    <m/>
    <m/>
    <m/>
    <m/>
    <n v="3868399"/>
    <n v="6.7999999999999996E-3"/>
    <n v="28126.1"/>
    <n v="273770.18"/>
    <m/>
    <n v="2164.61"/>
    <n v="301896.27999999997"/>
    <n v="0"/>
    <m/>
    <n v="0"/>
  </r>
  <r>
    <x v="114"/>
    <s v="Dexia CL"/>
    <d v="2011-11-01T00:00:00"/>
    <d v="2018-01-01T00:00:00"/>
    <n v="21.17"/>
    <s v="Barrière avec multiplicateur"/>
    <s v="Struct"/>
    <x v="16"/>
    <n v="1"/>
    <m/>
    <m/>
    <m/>
    <m/>
    <m/>
    <n v="7713685"/>
    <n v="3.5499999999999997E-2"/>
    <n v="287771.03999999998"/>
    <n v="395714.28"/>
    <m/>
    <n v="273728.68"/>
    <n v="683485.32000000007"/>
    <n v="0"/>
    <m/>
    <n v="0"/>
  </r>
  <r>
    <x v="115"/>
    <s v="Dexia CL"/>
    <d v="2011-11-01T00:00:00"/>
    <d v="2014-01-15T00:00:00"/>
    <n v="22"/>
    <s v="Change"/>
    <s v="Struct"/>
    <x v="16"/>
    <n v="1"/>
    <m/>
    <m/>
    <m/>
    <m/>
    <m/>
    <m/>
    <m/>
    <m/>
    <m/>
    <m/>
    <m/>
    <m/>
    <s v=""/>
    <m/>
    <n v="0"/>
  </r>
  <r>
    <x v="116"/>
    <s v="Dexia CL"/>
    <d v="2011-12-01T00:00:00"/>
    <d v="2012-12-01T00:00:00"/>
    <n v="18"/>
    <s v="Change"/>
    <s v="Struct"/>
    <x v="16"/>
    <n v="1"/>
    <m/>
    <m/>
    <m/>
    <m/>
    <m/>
    <m/>
    <m/>
    <m/>
    <m/>
    <m/>
    <m/>
    <m/>
    <s v=""/>
    <m/>
    <n v="0"/>
  </r>
  <r>
    <x v="117"/>
    <s v="Dexia CL"/>
    <d v="2011-12-01T00:00:00"/>
    <d v="2035-12-01T00:00:00"/>
    <n v="24"/>
    <s v="Variable"/>
    <s v="Non_st"/>
    <x v="16"/>
    <n v="1"/>
    <m/>
    <m/>
    <m/>
    <m/>
    <m/>
    <n v="3924483"/>
    <n v="1.9199999999999998E-2"/>
    <n v="7477.3"/>
    <n v="184311.18"/>
    <m/>
    <n v="281.25"/>
    <n v="191788.47999999998"/>
    <n v="0"/>
    <m/>
    <n v="0"/>
  </r>
  <r>
    <x v="118"/>
    <s v="Caisse d'Épargne"/>
    <d v="2012-01-05T00:00:00"/>
    <d v="2032-01-05T00:00:00"/>
    <n v="20"/>
    <s v="Barrière"/>
    <s v="Struct"/>
    <x v="16"/>
    <n v="1"/>
    <m/>
    <m/>
    <m/>
    <m/>
    <m/>
    <n v="5531208"/>
    <n v="4.9200000000000001E-2"/>
    <n v="284520.65000000002"/>
    <n v="254835.48"/>
    <m/>
    <n v="269008.77"/>
    <n v="539356.13"/>
    <n v="0"/>
    <m/>
    <n v="0"/>
  </r>
  <r>
    <x v="119"/>
    <s v="CDC"/>
    <d v="2012-03-23T00:00:00"/>
    <d v="2027-10-01T00:00:00"/>
    <n v="15.25"/>
    <s v="Variable"/>
    <s v="Non_st"/>
    <x v="16"/>
    <n v="1"/>
    <m/>
    <m/>
    <m/>
    <m/>
    <m/>
    <n v="0"/>
    <m/>
    <n v="24272.45"/>
    <n v="4895832.67"/>
    <m/>
    <n v="0"/>
    <n v="4920105.12"/>
    <n v="0"/>
    <m/>
    <n v="0"/>
  </r>
  <r>
    <x v="122"/>
    <s v="Dexia CL"/>
    <d v="2012-05-01T00:00:00"/>
    <d v="2031-10-01T00:00:00"/>
    <n v="19.420000000000002"/>
    <s v="Barrière avec multiplicateur"/>
    <s v="Struct"/>
    <x v="16"/>
    <n v="1"/>
    <m/>
    <m/>
    <m/>
    <m/>
    <m/>
    <n v="13180051"/>
    <n v="1.7000000000000001E-2"/>
    <n v="235330.67"/>
    <n v="581708.29"/>
    <m/>
    <n v="55786.71"/>
    <n v="817038.96000000008"/>
    <n v="0"/>
    <m/>
    <n v="0"/>
  </r>
  <r>
    <x v="123"/>
    <s v="Dexia CL"/>
    <d v="2012-05-01T00:00:00"/>
    <d v="2014-05-01T00:00:00"/>
    <n v="17"/>
    <s v="Change"/>
    <s v="Struct"/>
    <x v="16"/>
    <n v="1"/>
    <m/>
    <m/>
    <m/>
    <m/>
    <m/>
    <m/>
    <m/>
    <m/>
    <m/>
    <m/>
    <m/>
    <m/>
    <s v=""/>
    <m/>
    <n v="0"/>
  </r>
  <r>
    <x v="126"/>
    <s v="Caisse d'Épargne"/>
    <d v="2012-09-15T00:00:00"/>
    <d v="2033-07-25T00:00:00"/>
    <n v="20.8"/>
    <s v="Fixe"/>
    <s v="Non_st"/>
    <x v="16"/>
    <n v="1"/>
    <m/>
    <m/>
    <m/>
    <m/>
    <m/>
    <n v="17939871"/>
    <n v="4.5100000000000001E-2"/>
    <n v="830496.9"/>
    <n v="669671.18999999994"/>
    <m/>
    <n v="148440.18"/>
    <n v="1500168.0899999999"/>
    <n v="0"/>
    <m/>
    <n v="0"/>
  </r>
  <r>
    <x v="127"/>
    <s v="Dexia CL"/>
    <d v="2012-12-01T00:00:00"/>
    <d v="2016-11-01T00:00:00"/>
    <n v="17"/>
    <s v="Change"/>
    <s v="Struct"/>
    <x v="16"/>
    <n v="1"/>
    <m/>
    <m/>
    <m/>
    <m/>
    <m/>
    <n v="0"/>
    <n v="3.0300000000000001E-2"/>
    <n v="137541.43"/>
    <n v="0"/>
    <m/>
    <m/>
    <n v="137541.43"/>
    <n v="0"/>
    <m/>
    <n v="4929000"/>
  </r>
  <r>
    <x v="128"/>
    <s v="Dexia CL"/>
    <d v="2012-12-01T00:00:00"/>
    <d v="2033-12-01T00:00:00"/>
    <n v="21"/>
    <s v="Fixe"/>
    <s v="Restr_sec"/>
    <x v="16"/>
    <n v="1"/>
    <m/>
    <m/>
    <m/>
    <m/>
    <m/>
    <n v="5622584"/>
    <n v="5.2200000000000003E-2"/>
    <n v="329595.76"/>
    <n v="672417.13"/>
    <m/>
    <n v="24130.26"/>
    <n v="1002012.89"/>
    <n v="0"/>
    <m/>
    <n v="0"/>
  </r>
  <r>
    <x v="130"/>
    <s v="Caisse d'Épargne"/>
    <d v="2013-02-25T00:00:00"/>
    <d v="2033-02-25T00:00:00"/>
    <n v="20"/>
    <s v="Fixe"/>
    <s v="Restr_sec"/>
    <x v="16"/>
    <n v="1"/>
    <m/>
    <m/>
    <m/>
    <m/>
    <m/>
    <n v="3564110"/>
    <n v="4.4900000000000002E-2"/>
    <n v="164431.48000000001"/>
    <n v="139084.59"/>
    <m/>
    <n v="15775.57"/>
    <n v="303516.07"/>
    <n v="0"/>
    <m/>
    <n v="0"/>
  </r>
  <r>
    <x v="131"/>
    <s v="Dexia CL"/>
    <d v="2013-06-01T00:00:00"/>
    <d v="2033-06-01T00:00:00"/>
    <n v="20"/>
    <s v="Fixe"/>
    <s v="Restr_sec"/>
    <x v="16"/>
    <n v="1"/>
    <m/>
    <m/>
    <m/>
    <m/>
    <m/>
    <n v="14915744"/>
    <n v="5.0500000000000003E-2"/>
    <n v="786990.97"/>
    <n v="628221.66"/>
    <m/>
    <n v="439492.39"/>
    <n v="1415212.63"/>
    <n v="0"/>
    <m/>
    <n v="0"/>
  </r>
  <r>
    <x v="132"/>
    <s v="Caisse d'Épargne"/>
    <d v="2013-12-31T00:00:00"/>
    <d v="2033-12-31T00:00:00"/>
    <n v="20"/>
    <s v="Fixe"/>
    <s v="Non_st"/>
    <x v="16"/>
    <n v="1"/>
    <m/>
    <m/>
    <m/>
    <m/>
    <m/>
    <n v="8500000"/>
    <n v="4.41E-2"/>
    <n v="398025"/>
    <n v="500000"/>
    <m/>
    <n v="0"/>
    <n v="898025"/>
    <n v="0"/>
    <m/>
    <n v="0"/>
  </r>
  <r>
    <x v="133"/>
    <s v="Société générale"/>
    <d v="2014-01-01T00:00:00"/>
    <d v="2035-01-01T00:00:00"/>
    <n v="21"/>
    <s v="Fixe"/>
    <s v="Restr_sec"/>
    <x v="16"/>
    <n v="1"/>
    <m/>
    <m/>
    <m/>
    <m/>
    <m/>
    <n v="3837971"/>
    <n v="4.87E-2"/>
    <n v="187787.77"/>
    <n v="119689.92"/>
    <m/>
    <n v="15351.89"/>
    <n v="307477.69"/>
    <n v="0"/>
    <m/>
    <n v="0"/>
  </r>
  <r>
    <x v="134"/>
    <s v="Dexia CL"/>
    <d v="2014-01-15T00:00:00"/>
    <d v="2033-11-01T00:00:00"/>
    <n v="19.829999999999998"/>
    <s v="Fixe"/>
    <s v="Restr_sec"/>
    <x v="16"/>
    <n v="1"/>
    <m/>
    <m/>
    <m/>
    <m/>
    <m/>
    <n v="21353650"/>
    <n v="4.7E-2"/>
    <n v="1060368.8"/>
    <n v="1124490.29"/>
    <m/>
    <n v="165134.89000000001"/>
    <n v="2184859.09"/>
    <n v="0"/>
    <m/>
    <n v="0"/>
  </r>
  <r>
    <x v="135"/>
    <s v="Caisse d'Épargne"/>
    <d v="2014-02-25T00:00:00"/>
    <d v="2018-02-25T00:00:00"/>
    <n v="5"/>
    <s v="Courbes"/>
    <s v="Struct"/>
    <x v="16"/>
    <n v="1"/>
    <m/>
    <m/>
    <m/>
    <m/>
    <m/>
    <n v="5979060"/>
    <n v="5.0700000000000002E-2"/>
    <n v="334924.68"/>
    <n v="627673.63"/>
    <m/>
    <n v="257431.74"/>
    <n v="962598.31"/>
    <n v="0"/>
    <m/>
    <n v="0"/>
  </r>
  <r>
    <x v="136"/>
    <s v="Caisse d'Épargne"/>
    <d v="2014-02-25T00:00:00"/>
    <d v="2026-02-25T00:00:00"/>
    <n v="12"/>
    <s v="Fixe"/>
    <s v="Restr_sec"/>
    <x v="16"/>
    <n v="1"/>
    <m/>
    <m/>
    <m/>
    <m/>
    <m/>
    <n v="2100750"/>
    <n v="4.8000000000000001E-2"/>
    <n v="111321.71"/>
    <n v="220533.98"/>
    <m/>
    <n v="85564.73"/>
    <n v="331855.69"/>
    <n v="0"/>
    <m/>
    <n v="0"/>
  </r>
  <r>
    <x v="137"/>
    <s v="Société générale"/>
    <d v="2014-04-01T00:00:00"/>
    <d v="2035-04-01T00:00:00"/>
    <n v="21"/>
    <s v="Fixe"/>
    <s v="Restr_sec"/>
    <x v="16"/>
    <n v="1"/>
    <m/>
    <m/>
    <m/>
    <m/>
    <m/>
    <n v="3199690"/>
    <n v="4.87E-2"/>
    <n v="157768.06"/>
    <n v="99784.67"/>
    <m/>
    <n v="12798.76"/>
    <n v="257552.72999999998"/>
    <n v="0"/>
    <m/>
    <n v="0"/>
  </r>
  <r>
    <x v="138"/>
    <s v="Dexia CL"/>
    <d v="2014-05-01T00:00:00"/>
    <d v="2029-05-01T00:00:00"/>
    <n v="15"/>
    <s v="Fixe"/>
    <s v="Non_st"/>
    <x v="16"/>
    <n v="1"/>
    <m/>
    <m/>
    <m/>
    <m/>
    <m/>
    <n v="5429990"/>
    <n v="4.0099999999999997E-2"/>
    <n v="230365.56"/>
    <n v="291956.42"/>
    <m/>
    <n v="145740.93"/>
    <n v="522321.98"/>
    <n v="0"/>
    <m/>
    <n v="0"/>
  </r>
  <r>
    <x v="139"/>
    <s v="Dexia CL"/>
    <d v="2014-05-01T00:00:00"/>
    <d v="2036-05-01T00:00:00"/>
    <n v="22"/>
    <s v="Fixe"/>
    <s v="Restr_aidé"/>
    <x v="16"/>
    <n v="1"/>
    <m/>
    <m/>
    <m/>
    <m/>
    <m/>
    <n v="34891154"/>
    <n v="4.7300000000000002E-2"/>
    <n v="1721716.73"/>
    <n v="1372055.32"/>
    <m/>
    <n v="1104382.55"/>
    <n v="3093772.05"/>
    <n v="0"/>
    <m/>
    <n v="0"/>
  </r>
  <r>
    <x v="140"/>
    <s v="Société générale"/>
    <d v="2014-06-30T00:00:00"/>
    <d v="2035-05-31T00:00:00"/>
    <n v="20"/>
    <s v="Variable"/>
    <s v="Non_st"/>
    <x v="16"/>
    <n v="1"/>
    <m/>
    <m/>
    <m/>
    <m/>
    <m/>
    <n v="4625000"/>
    <n v="1.6199999999999999E-2"/>
    <n v="79574.98"/>
    <n v="250000"/>
    <m/>
    <n v="11693.54"/>
    <n v="329574.98"/>
    <n v="0"/>
    <m/>
    <n v="0"/>
  </r>
  <r>
    <x v="141"/>
    <s v="Caisse d'Épargne"/>
    <d v="2014-09-30T00:00:00"/>
    <d v="2034-09-30T00:00:00"/>
    <n v="20"/>
    <s v="Fixe"/>
    <s v="Non_st"/>
    <x v="16"/>
    <n v="1"/>
    <m/>
    <m/>
    <m/>
    <m/>
    <m/>
    <n v="9000000"/>
    <n v="4.41E-2"/>
    <n v="420137.5"/>
    <n v="500000"/>
    <m/>
    <n v="100050"/>
    <n v="920137.5"/>
    <n v="0"/>
    <m/>
    <n v="0"/>
  </r>
  <r>
    <x v="142"/>
    <s v="Caisse d'Épargne"/>
    <d v="2014-12-31T00:00:00"/>
    <d v="2034-12-31T00:00:00"/>
    <n v="20"/>
    <s v="Fixe"/>
    <s v="Non_st"/>
    <x v="16"/>
    <n v="1"/>
    <m/>
    <m/>
    <m/>
    <m/>
    <m/>
    <n v="9000000"/>
    <n v="4.24E-2"/>
    <n v="403718.33"/>
    <n v="500000"/>
    <m/>
    <n v="0"/>
    <n v="903718.33000000007"/>
    <n v="0"/>
    <m/>
    <n v="0"/>
  </r>
  <r>
    <x v="143"/>
    <s v="Crédit Foncier"/>
    <d v="2015-02-13T00:00:00"/>
    <d v="2030-02-13T00:00:00"/>
    <n v="15"/>
    <s v="Fixe"/>
    <s v="Non_st"/>
    <x v="16"/>
    <n v="1"/>
    <m/>
    <m/>
    <m/>
    <m/>
    <m/>
    <n v="4666667"/>
    <n v="3.7100000000000001E-2"/>
    <n v="186000"/>
    <n v="333333.33"/>
    <m/>
    <n v="152864.44"/>
    <n v="519333.33"/>
    <n v="0"/>
    <m/>
    <n v="0"/>
  </r>
  <r>
    <x v="144"/>
    <s v="Dexia CL"/>
    <d v="2015-05-01T00:00:00"/>
    <d v="2035-05-01T00:00:00"/>
    <n v="20"/>
    <s v="Fixe"/>
    <s v="Restr_aidé"/>
    <x v="16"/>
    <n v="1"/>
    <m/>
    <m/>
    <m/>
    <m/>
    <m/>
    <n v="17223997"/>
    <n v="3.5099999999999999E-2"/>
    <n v="624777.69999999995"/>
    <n v="537142.82999999996"/>
    <m/>
    <n v="403921.87"/>
    <n v="1161920.5299999998"/>
    <n v="0"/>
    <m/>
    <n v="0"/>
  </r>
  <r>
    <x v="145"/>
    <s v="Dexia CL"/>
    <d v="2015-12-01T00:00:00"/>
    <d v="2040-12-01T00:00:00"/>
    <n v="25"/>
    <s v="Fixe"/>
    <s v="Restr_sec"/>
    <x v="16"/>
    <n v="1"/>
    <m/>
    <m/>
    <m/>
    <m/>
    <m/>
    <n v="8811428"/>
    <n v="3.27E-2"/>
    <n v="295545"/>
    <n v="188572.12"/>
    <m/>
    <n v="23717.43"/>
    <n v="484117.12"/>
    <n v="0"/>
    <m/>
    <n v="0"/>
  </r>
  <r>
    <x v="146"/>
    <s v="CDC"/>
    <d v="2016-01-01T00:00:00"/>
    <d v="2031-01-01T00:00:00"/>
    <n v="15"/>
    <s v="Livret A"/>
    <s v="Livr_A"/>
    <x v="16"/>
    <n v="1"/>
    <m/>
    <m/>
    <m/>
    <m/>
    <m/>
    <n v="4552083"/>
    <n v="1.49E-2"/>
    <n v="52663.18"/>
    <n v="239583.33"/>
    <m/>
    <n v="16786.509999999998"/>
    <n v="292246.51"/>
    <n v="0"/>
    <m/>
    <n v="0"/>
  </r>
  <r>
    <x v="147"/>
    <s v="Arkea"/>
    <d v="2016-02-08T00:00:00"/>
    <d v="2036-01-30T00:00:00"/>
    <n v="20"/>
    <s v="Fixe"/>
    <s v="Non_st"/>
    <x v="16"/>
    <n v="1"/>
    <m/>
    <m/>
    <m/>
    <m/>
    <m/>
    <n v="9704350"/>
    <n v="2.4199999999999999E-2"/>
    <n v="175357.47"/>
    <n v="295649.86"/>
    <m/>
    <n v="38493.919999999998"/>
    <n v="471007.32999999996"/>
    <n v="0"/>
    <m/>
    <n v="0"/>
  </r>
  <r>
    <x v="148"/>
    <s v="Dexia CL"/>
    <d v="2016-10-01T00:00:00"/>
    <d v="2036-07-01T00:00:00"/>
    <n v="19.75"/>
    <s v="Fixe"/>
    <s v="Restr_aidé"/>
    <x v="16"/>
    <n v="1"/>
    <m/>
    <m/>
    <m/>
    <m/>
    <m/>
    <n v="10461760"/>
    <n v="4.1099999999999998E-2"/>
    <n v="0"/>
    <n v="0"/>
    <m/>
    <n v="107102.27"/>
    <n v="0"/>
    <n v="0"/>
    <m/>
    <n v="0"/>
  </r>
  <r>
    <x v="149"/>
    <s v="Dexia CL"/>
    <d v="2016-10-01T00:00:00"/>
    <d v="2036-07-01T00:00:00"/>
    <n v="19.75"/>
    <s v="Fixe"/>
    <s v="Non_st"/>
    <x v="16"/>
    <n v="1"/>
    <m/>
    <m/>
    <m/>
    <m/>
    <m/>
    <n v="3000000"/>
    <n v="2.7900000000000001E-2"/>
    <n v="0"/>
    <n v="0"/>
    <m/>
    <n v="20584.169999999998"/>
    <n v="0"/>
    <n v="0"/>
    <m/>
    <n v="0"/>
  </r>
  <r>
    <x v="150"/>
    <s v="Dexia CL"/>
    <d v="2016-11-01T00:00:00"/>
    <d v="2035-12-01T00:00:00"/>
    <n v="19.079999999999998"/>
    <s v="Fixe"/>
    <s v="Restr_aidé"/>
    <x v="16"/>
    <n v="1"/>
    <m/>
    <m/>
    <m/>
    <m/>
    <m/>
    <n v="8979568"/>
    <n v="3.0200000000000001E-2"/>
    <n v="22669.41"/>
    <n v="149054.29999999999"/>
    <m/>
    <n v="22299.26"/>
    <n v="171723.71"/>
    <n v="0"/>
    <m/>
    <n v="0"/>
  </r>
  <r>
    <x v="151"/>
    <s v="Dexia CL"/>
    <d v="2016-11-01T00:00:00"/>
    <d v="2035-11-01T00:00:00"/>
    <n v="19"/>
    <s v="Fixe"/>
    <s v="Non_st"/>
    <x v="16"/>
    <n v="1"/>
    <m/>
    <m/>
    <m/>
    <m/>
    <m/>
    <n v="17000000"/>
    <n v="2.7900000000000001E-2"/>
    <n v="0"/>
    <n v="0"/>
    <m/>
    <n v="77916.67"/>
    <n v="0"/>
    <n v="0"/>
    <m/>
    <n v="0"/>
  </r>
  <r>
    <x v="152"/>
    <s v="Dexia CL"/>
    <d v="2017-11-01T00:00:00"/>
    <d v="2037-11-01T00:00:00"/>
    <n v="20"/>
    <s v="Fixe"/>
    <s v="Restr_aidé"/>
    <x v="16"/>
    <n v="0"/>
    <m/>
    <m/>
    <m/>
    <m/>
    <m/>
    <m/>
    <m/>
    <m/>
    <m/>
    <m/>
    <m/>
    <m/>
    <s v=""/>
    <m/>
    <n v="0"/>
  </r>
  <r>
    <x v="153"/>
    <s v="Dexia CL"/>
    <d v="2017-11-01T00:00:00"/>
    <d v="2037-11-01T00:00:00"/>
    <n v="20"/>
    <s v="Fixe"/>
    <s v="Non_st"/>
    <x v="16"/>
    <n v="0"/>
    <m/>
    <m/>
    <m/>
    <m/>
    <m/>
    <m/>
    <m/>
    <m/>
    <m/>
    <m/>
    <m/>
    <m/>
    <s v=""/>
    <m/>
    <n v="0"/>
  </r>
  <r>
    <x v="154"/>
    <s v="Dexia CL"/>
    <d v="2017-11-01T00:00:00"/>
    <d v="2034-11-01T00:00:00"/>
    <n v="17"/>
    <s v="Fixe"/>
    <s v="Restr_aidé"/>
    <x v="16"/>
    <n v="0"/>
    <m/>
    <m/>
    <m/>
    <m/>
    <m/>
    <m/>
    <m/>
    <m/>
    <m/>
    <m/>
    <m/>
    <m/>
    <s v=""/>
    <m/>
    <n v="0"/>
  </r>
  <r>
    <x v="155"/>
    <s v="Dexia CL"/>
    <d v="2017-11-01T00:00:00"/>
    <d v="2034-11-01T00:00:00"/>
    <n v="17"/>
    <s v="Fixe"/>
    <s v="Non_st"/>
    <x v="16"/>
    <n v="0"/>
    <m/>
    <m/>
    <m/>
    <m/>
    <m/>
    <m/>
    <m/>
    <m/>
    <m/>
    <m/>
    <m/>
    <m/>
    <s v=""/>
    <m/>
    <n v="0"/>
  </r>
  <r>
    <x v="156"/>
    <s v="Dexia CL"/>
    <d v="2018-01-01T00:00:00"/>
    <d v="2033-01-01T00:00:00"/>
    <n v="15"/>
    <s v="Fixe"/>
    <s v="Restr_aidé"/>
    <x v="16"/>
    <n v="0"/>
    <m/>
    <m/>
    <m/>
    <m/>
    <m/>
    <m/>
    <m/>
    <m/>
    <m/>
    <m/>
    <m/>
    <m/>
    <s v=""/>
    <m/>
    <n v="0"/>
  </r>
  <r>
    <x v="157"/>
    <s v="Dexia CL"/>
    <d v="2018-01-01T00:00:00"/>
    <d v="2033-01-01T00:00:00"/>
    <n v="15"/>
    <s v="Fixe"/>
    <s v="Non_st"/>
    <x v="16"/>
    <n v="0"/>
    <m/>
    <m/>
    <m/>
    <m/>
    <m/>
    <m/>
    <m/>
    <m/>
    <m/>
    <m/>
    <m/>
    <m/>
    <s v=""/>
    <m/>
    <n v="0"/>
  </r>
  <r>
    <x v="158"/>
    <s v="Caisse d'Épargne"/>
    <d v="2018-02-25T00:00:00"/>
    <d v="2026-02-25T00:00:00"/>
    <n v="8"/>
    <s v="Fixe"/>
    <s v="Restr_sec"/>
    <x v="16"/>
    <n v="0"/>
    <m/>
    <m/>
    <m/>
    <m/>
    <m/>
    <m/>
    <m/>
    <m/>
    <m/>
    <m/>
    <m/>
    <m/>
    <s v=""/>
    <m/>
    <n v="0"/>
  </r>
  <r>
    <x v="14"/>
    <s v="CDC"/>
    <d v="2001-04-25T00:00:00"/>
    <d v="2004-04-25T00:00:00"/>
    <n v="3"/>
    <s v="Fixe"/>
    <s v="Non_st"/>
    <x v="17"/>
    <n v="1"/>
    <m/>
    <m/>
    <m/>
    <m/>
    <m/>
    <m/>
    <m/>
    <m/>
    <m/>
    <m/>
    <m/>
    <m/>
    <s v=""/>
    <m/>
    <n v="0"/>
  </r>
  <r>
    <x v="16"/>
    <s v="Dexia CL"/>
    <d v="2001-11-26T00:00:00"/>
    <d v="2006-03-01T00:00:00"/>
    <n v="20"/>
    <s v="Annulable"/>
    <s v="Struct"/>
    <x v="17"/>
    <n v="1"/>
    <m/>
    <m/>
    <m/>
    <m/>
    <m/>
    <m/>
    <m/>
    <m/>
    <m/>
    <m/>
    <m/>
    <m/>
    <s v=""/>
    <m/>
    <n v="0"/>
  </r>
  <r>
    <x v="17"/>
    <s v="CDC"/>
    <d v="2002-01-25T00:00:00"/>
    <d v="2009-01-25T00:00:00"/>
    <n v="7"/>
    <s v="Fixe"/>
    <s v="Non_st"/>
    <x v="17"/>
    <n v="1"/>
    <m/>
    <m/>
    <m/>
    <m/>
    <m/>
    <m/>
    <m/>
    <m/>
    <m/>
    <m/>
    <m/>
    <m/>
    <s v=""/>
    <m/>
    <n v="0"/>
  </r>
  <r>
    <x v="18"/>
    <s v="CDC"/>
    <d v="2002-02-01T00:00:00"/>
    <d v="2022-02-01T00:00:00"/>
    <n v="20"/>
    <s v="Livret A"/>
    <s v="Livr_A"/>
    <x v="17"/>
    <n v="1"/>
    <m/>
    <m/>
    <d v="2003-02-01T00:00:00"/>
    <d v="2003-02-01T00:00:00"/>
    <n v="2137796"/>
    <n v="621400"/>
    <n v="7.4999999999999997E-3"/>
    <n v="5571.89"/>
    <n v="121518.44"/>
    <m/>
    <n v="4259.18"/>
    <n v="127090.33"/>
    <n v="0"/>
    <m/>
    <n v="0"/>
  </r>
  <r>
    <x v="19"/>
    <s v="CDC"/>
    <d v="2002-04-01T00:00:00"/>
    <d v="2022-04-01T00:00:00"/>
    <n v="20"/>
    <s v="Livret A"/>
    <s v="Livr_A"/>
    <x v="17"/>
    <n v="1"/>
    <m/>
    <m/>
    <m/>
    <m/>
    <m/>
    <m/>
    <m/>
    <m/>
    <m/>
    <m/>
    <m/>
    <m/>
    <s v=""/>
    <m/>
    <n v="0"/>
  </r>
  <r>
    <x v="20"/>
    <s v="Crédit Agricole"/>
    <d v="2002-04-15T00:00:00"/>
    <d v="2017-04-18T00:00:00"/>
    <n v="15"/>
    <s v="Barrière hors zone EUR"/>
    <s v="Struct"/>
    <x v="17"/>
    <n v="1"/>
    <m/>
    <m/>
    <m/>
    <m/>
    <m/>
    <n v="0"/>
    <n v="0"/>
    <n v="0"/>
    <n v="1098703.1200000001"/>
    <m/>
    <m/>
    <n v="1098703.1200000001"/>
    <n v="0"/>
    <m/>
    <n v="0"/>
  </r>
  <r>
    <x v="21"/>
    <s v="Dexia CL"/>
    <d v="2002-05-01T00:00:00"/>
    <d v="2004-04-10T00:00:00"/>
    <n v="17"/>
    <s v="Barrière"/>
    <s v="Struct"/>
    <x v="17"/>
    <n v="1"/>
    <m/>
    <m/>
    <m/>
    <m/>
    <m/>
    <m/>
    <m/>
    <m/>
    <m/>
    <m/>
    <m/>
    <m/>
    <s v=""/>
    <m/>
    <n v="0"/>
  </r>
  <r>
    <x v="22"/>
    <s v="Dexia CL"/>
    <d v="2002-05-01T00:00:00"/>
    <d v="2005-07-01T00:00:00"/>
    <n v="19.25"/>
    <s v="Barrière hors zone EUR"/>
    <s v="Struct"/>
    <x v="17"/>
    <n v="1"/>
    <m/>
    <m/>
    <m/>
    <m/>
    <m/>
    <m/>
    <m/>
    <m/>
    <m/>
    <m/>
    <m/>
    <m/>
    <s v=""/>
    <m/>
    <n v="0"/>
  </r>
  <r>
    <x v="23"/>
    <s v="Dexia CL"/>
    <d v="2002-05-01T00:00:00"/>
    <d v="2004-04-10T00:00:00"/>
    <n v="19.25"/>
    <s v="Barrière hors zone EUR"/>
    <s v="Struct"/>
    <x v="17"/>
    <n v="1"/>
    <m/>
    <m/>
    <m/>
    <m/>
    <m/>
    <m/>
    <m/>
    <m/>
    <m/>
    <m/>
    <m/>
    <m/>
    <s v=""/>
    <m/>
    <n v="0"/>
  </r>
  <r>
    <x v="25"/>
    <s v="Dexia CL"/>
    <d v="2002-05-01T00:00:00"/>
    <d v="2004-07-25T00:00:00"/>
    <n v="8"/>
    <s v="Variable hors zone EUR"/>
    <s v="Struct"/>
    <x v="17"/>
    <n v="1"/>
    <m/>
    <m/>
    <m/>
    <m/>
    <m/>
    <m/>
    <m/>
    <m/>
    <m/>
    <m/>
    <m/>
    <m/>
    <s v=""/>
    <m/>
    <n v="0"/>
  </r>
  <r>
    <x v="26"/>
    <s v="CDC"/>
    <d v="2002-10-01T00:00:00"/>
    <d v="2002-10-01T00:00:00"/>
    <n v="20"/>
    <s v="Livret A"/>
    <s v="Livr_A"/>
    <x v="17"/>
    <n v="1"/>
    <m/>
    <m/>
    <m/>
    <m/>
    <m/>
    <m/>
    <m/>
    <m/>
    <m/>
    <m/>
    <m/>
    <m/>
    <s v=""/>
    <m/>
    <n v="0"/>
  </r>
  <r>
    <x v="27"/>
    <s v="Dexia CL"/>
    <d v="2002-10-04T00:00:00"/>
    <d v="2004-07-25T00:00:00"/>
    <n v="20"/>
    <s v="Fixe"/>
    <s v="Non_st"/>
    <x v="17"/>
    <n v="1"/>
    <m/>
    <m/>
    <m/>
    <m/>
    <m/>
    <m/>
    <m/>
    <m/>
    <m/>
    <m/>
    <m/>
    <m/>
    <s v=""/>
    <m/>
    <n v="0"/>
  </r>
  <r>
    <x v="28"/>
    <s v="CDC"/>
    <d v="2002-12-31T00:00:00"/>
    <d v="2023-01-01T00:00:00"/>
    <n v="20"/>
    <s v="Livret A"/>
    <s v="Livr_A"/>
    <x v="17"/>
    <n v="1"/>
    <m/>
    <m/>
    <m/>
    <m/>
    <m/>
    <m/>
    <m/>
    <m/>
    <m/>
    <m/>
    <m/>
    <m/>
    <s v=""/>
    <m/>
    <n v="0"/>
  </r>
  <r>
    <x v="31"/>
    <s v="Dexia CL"/>
    <d v="2003-03-01T00:00:00"/>
    <d v="2005-04-01T00:00:00"/>
    <n v="15"/>
    <s v="Barrière"/>
    <s v="Struct"/>
    <x v="17"/>
    <n v="1"/>
    <m/>
    <m/>
    <m/>
    <m/>
    <m/>
    <m/>
    <m/>
    <m/>
    <m/>
    <m/>
    <m/>
    <m/>
    <s v=""/>
    <m/>
    <n v="0"/>
  </r>
  <r>
    <x v="32"/>
    <s v="Dexia CL"/>
    <d v="2003-05-01T00:00:00"/>
    <d v="2005-04-01T00:00:00"/>
    <n v="8"/>
    <s v="Barrière"/>
    <s v="Struct"/>
    <x v="17"/>
    <n v="1"/>
    <m/>
    <m/>
    <m/>
    <m/>
    <m/>
    <m/>
    <m/>
    <m/>
    <m/>
    <m/>
    <m/>
    <m/>
    <s v=""/>
    <m/>
    <n v="0"/>
  </r>
  <r>
    <x v="34"/>
    <s v="Dexia CL"/>
    <d v="2003-05-31T00:00:00"/>
    <d v="2005-04-01T00:00:00"/>
    <n v="20"/>
    <s v="Barrière"/>
    <s v="Struct"/>
    <x v="17"/>
    <n v="1"/>
    <m/>
    <m/>
    <m/>
    <m/>
    <m/>
    <m/>
    <m/>
    <m/>
    <m/>
    <m/>
    <m/>
    <m/>
    <s v=""/>
    <m/>
    <n v="0"/>
  </r>
  <r>
    <x v="35"/>
    <s v="Caisse d'Épargne"/>
    <d v="2003-07-01T00:00:00"/>
    <d v="2006-02-25T00:00:00"/>
    <n v="20"/>
    <s v="Barrière hors zone EUR"/>
    <s v="Struct"/>
    <x v="17"/>
    <n v="1"/>
    <m/>
    <m/>
    <m/>
    <m/>
    <m/>
    <m/>
    <m/>
    <m/>
    <m/>
    <m/>
    <m/>
    <m/>
    <s v=""/>
    <m/>
    <n v="0"/>
  </r>
  <r>
    <x v="37"/>
    <s v="Caisse d'Épargne"/>
    <d v="2003-09-01T00:00:00"/>
    <d v="2006-09-01T00:00:00"/>
    <n v="3"/>
    <s v="Fixe"/>
    <s v="Non_st"/>
    <x v="17"/>
    <n v="1"/>
    <m/>
    <m/>
    <m/>
    <m/>
    <m/>
    <m/>
    <m/>
    <m/>
    <m/>
    <m/>
    <m/>
    <m/>
    <s v=""/>
    <m/>
    <n v="0"/>
  </r>
  <r>
    <x v="38"/>
    <s v="Caisse d'Épargne"/>
    <d v="2004-02-05T00:00:00"/>
    <d v="2011-06-25T00:00:00"/>
    <n v="7"/>
    <s v="Fixe"/>
    <s v="Non_st"/>
    <x v="17"/>
    <n v="1"/>
    <m/>
    <m/>
    <m/>
    <m/>
    <m/>
    <m/>
    <m/>
    <m/>
    <m/>
    <m/>
    <m/>
    <m/>
    <s v=""/>
    <m/>
    <n v="0"/>
  </r>
  <r>
    <x v="39"/>
    <s v="Dexia CL"/>
    <d v="2004-03-31T00:00:00"/>
    <d v="2007-04-01T00:00:00"/>
    <n v="3"/>
    <s v="Fixe"/>
    <s v="Non_st"/>
    <x v="17"/>
    <n v="1"/>
    <m/>
    <m/>
    <m/>
    <m/>
    <m/>
    <m/>
    <m/>
    <m/>
    <m/>
    <m/>
    <m/>
    <m/>
    <s v=""/>
    <m/>
    <n v="0"/>
  </r>
  <r>
    <x v="40"/>
    <s v="Dexia CL"/>
    <d v="2004-04-10T00:00:00"/>
    <d v="2005-12-01T00:00:00"/>
    <n v="17.75"/>
    <s v="Barrière avec multiplicateur"/>
    <s v="Struct"/>
    <x v="17"/>
    <n v="1"/>
    <m/>
    <m/>
    <m/>
    <m/>
    <m/>
    <m/>
    <m/>
    <m/>
    <m/>
    <m/>
    <m/>
    <m/>
    <s v=""/>
    <m/>
    <n v="0"/>
  </r>
  <r>
    <x v="41"/>
    <s v="Dexia CL"/>
    <d v="2004-04-10T00:00:00"/>
    <d v="2005-07-01T00:00:00"/>
    <n v="15"/>
    <s v="Barrière hors zone EUR"/>
    <s v="Struct"/>
    <x v="17"/>
    <n v="1"/>
    <m/>
    <m/>
    <m/>
    <m/>
    <m/>
    <m/>
    <m/>
    <m/>
    <m/>
    <m/>
    <m/>
    <m/>
    <s v=""/>
    <m/>
    <n v="0"/>
  </r>
  <r>
    <x v="42"/>
    <s v="Dexia CL"/>
    <d v="2004-04-15T00:00:00"/>
    <d v="2005-04-01T00:00:00"/>
    <n v="15"/>
    <s v="Variable hors zone EUR"/>
    <s v="Struct"/>
    <x v="17"/>
    <n v="1"/>
    <m/>
    <m/>
    <m/>
    <m/>
    <m/>
    <m/>
    <m/>
    <m/>
    <m/>
    <m/>
    <m/>
    <m/>
    <s v=""/>
    <m/>
    <n v="0"/>
  </r>
  <r>
    <x v="43"/>
    <s v="Dexia CL"/>
    <d v="2004-04-29T00:00:00"/>
    <d v="2007-05-01T00:00:00"/>
    <n v="21"/>
    <s v="Barrière"/>
    <s v="Struct"/>
    <x v="17"/>
    <n v="1"/>
    <m/>
    <m/>
    <m/>
    <m/>
    <m/>
    <m/>
    <m/>
    <m/>
    <m/>
    <m/>
    <m/>
    <m/>
    <s v=""/>
    <m/>
    <n v="0"/>
  </r>
  <r>
    <x v="44"/>
    <s v="Dexia CL"/>
    <d v="2004-06-15T00:00:00"/>
    <d v="2005-02-01T00:00:00"/>
    <n v="10"/>
    <s v="Change"/>
    <s v="Struct"/>
    <x v="17"/>
    <n v="1"/>
    <m/>
    <m/>
    <m/>
    <m/>
    <m/>
    <m/>
    <m/>
    <m/>
    <m/>
    <m/>
    <m/>
    <m/>
    <s v=""/>
    <m/>
    <n v="0"/>
  </r>
  <r>
    <x v="45"/>
    <s v="Dexia CL"/>
    <d v="2004-07-25T00:00:00"/>
    <d v="2006-03-01T00:00:00"/>
    <n v="18"/>
    <s v="Pente"/>
    <s v="Struct"/>
    <x v="17"/>
    <n v="1"/>
    <m/>
    <m/>
    <m/>
    <m/>
    <m/>
    <m/>
    <m/>
    <m/>
    <m/>
    <m/>
    <m/>
    <m/>
    <s v=""/>
    <m/>
    <n v="0"/>
  </r>
  <r>
    <x v="47"/>
    <s v="Dexia CL"/>
    <d v="2005-02-23T00:00:00"/>
    <d v="2007-02-01T00:00:00"/>
    <n v="17"/>
    <s v="Barrière avec multiplicateur"/>
    <s v="Struct"/>
    <x v="17"/>
    <n v="1"/>
    <m/>
    <m/>
    <m/>
    <m/>
    <m/>
    <m/>
    <m/>
    <m/>
    <m/>
    <m/>
    <m/>
    <m/>
    <s v=""/>
    <m/>
    <n v="0"/>
  </r>
  <r>
    <x v="48"/>
    <s v="Dexia CL"/>
    <d v="2005-02-23T00:00:00"/>
    <d v="2007-05-01T00:00:00"/>
    <n v="15"/>
    <s v="Variable hors zone EUR"/>
    <s v="Struct"/>
    <x v="17"/>
    <n v="1"/>
    <m/>
    <m/>
    <m/>
    <m/>
    <m/>
    <m/>
    <m/>
    <m/>
    <m/>
    <m/>
    <m/>
    <m/>
    <s v=""/>
    <m/>
    <n v="0"/>
  </r>
  <r>
    <x v="49"/>
    <s v="Crédit Mutuel"/>
    <d v="2005-03-24T00:00:00"/>
    <d v="2010-03-23T00:00:00"/>
    <n v="5"/>
    <s v="Fixe"/>
    <s v="Non_st"/>
    <x v="17"/>
    <n v="1"/>
    <m/>
    <m/>
    <m/>
    <m/>
    <m/>
    <m/>
    <m/>
    <m/>
    <m/>
    <m/>
    <m/>
    <m/>
    <s v=""/>
    <m/>
    <n v="0"/>
  </r>
  <r>
    <x v="50"/>
    <s v="Dexia CL"/>
    <d v="2005-04-01T00:00:00"/>
    <d v="2006-07-01T00:00:00"/>
    <n v="19"/>
    <s v="Change"/>
    <s v="Struct"/>
    <x v="17"/>
    <n v="1"/>
    <m/>
    <m/>
    <m/>
    <m/>
    <m/>
    <m/>
    <m/>
    <m/>
    <m/>
    <m/>
    <m/>
    <m/>
    <s v=""/>
    <m/>
    <n v="0"/>
  </r>
  <r>
    <x v="51"/>
    <s v="Dexia CL"/>
    <d v="2005-04-01T00:00:00"/>
    <d v="2007-05-01T00:00:00"/>
    <n v="15"/>
    <s v="Change"/>
    <s v="Struct"/>
    <x v="17"/>
    <n v="1"/>
    <m/>
    <m/>
    <m/>
    <m/>
    <m/>
    <m/>
    <m/>
    <m/>
    <m/>
    <m/>
    <m/>
    <m/>
    <s v=""/>
    <m/>
    <n v="0"/>
  </r>
  <r>
    <x v="52"/>
    <s v="CDC"/>
    <d v="2005-05-01T00:00:00"/>
    <d v="2011-04-30T00:00:00"/>
    <n v="6"/>
    <s v="Variable"/>
    <s v="Non_st"/>
    <x v="17"/>
    <n v="1"/>
    <m/>
    <m/>
    <m/>
    <m/>
    <m/>
    <m/>
    <m/>
    <m/>
    <m/>
    <m/>
    <m/>
    <m/>
    <s v=""/>
    <m/>
    <n v="0"/>
  </r>
  <r>
    <x v="53"/>
    <s v="CDC"/>
    <d v="2005-05-01T00:00:00"/>
    <d v="2013-04-29T00:00:00"/>
    <n v="8"/>
    <s v="Variable"/>
    <s v="Non_st"/>
    <x v="17"/>
    <n v="1"/>
    <m/>
    <m/>
    <m/>
    <m/>
    <m/>
    <m/>
    <m/>
    <m/>
    <m/>
    <m/>
    <m/>
    <m/>
    <s v=""/>
    <m/>
    <n v="0"/>
  </r>
  <r>
    <x v="54"/>
    <s v="Dexia CL"/>
    <d v="2005-06-01T00:00:00"/>
    <d v="2006-03-29T00:00:00"/>
    <n v="17.25"/>
    <s v="Change"/>
    <s v="Struct"/>
    <x v="17"/>
    <n v="1"/>
    <m/>
    <m/>
    <m/>
    <m/>
    <m/>
    <m/>
    <m/>
    <m/>
    <m/>
    <m/>
    <m/>
    <m/>
    <s v=""/>
    <m/>
    <n v="0"/>
  </r>
  <r>
    <x v="55"/>
    <s v="Dexia CL"/>
    <d v="2005-07-01T00:00:00"/>
    <d v="2006-07-01T00:00:00"/>
    <n v="16"/>
    <s v="Pente"/>
    <s v="Struct"/>
    <x v="17"/>
    <n v="1"/>
    <m/>
    <m/>
    <m/>
    <m/>
    <m/>
    <m/>
    <m/>
    <m/>
    <m/>
    <m/>
    <m/>
    <m/>
    <s v=""/>
    <m/>
    <n v="0"/>
  </r>
  <r>
    <x v="56"/>
    <s v="Dexia CL"/>
    <d v="2005-12-01T00:00:00"/>
    <d v="2006-03-29T00:00:00"/>
    <n v="16"/>
    <s v="Pente"/>
    <s v="Struct"/>
    <x v="17"/>
    <n v="1"/>
    <m/>
    <m/>
    <m/>
    <m/>
    <m/>
    <m/>
    <m/>
    <m/>
    <m/>
    <m/>
    <m/>
    <m/>
    <s v=""/>
    <m/>
    <n v="0"/>
  </r>
  <r>
    <x v="57"/>
    <s v="Dexia CL"/>
    <d v="2005-12-23T00:00:00"/>
    <d v="2007-05-01T00:00:00"/>
    <n v="18.170000000000002"/>
    <s v="Pente"/>
    <s v="Struct"/>
    <x v="17"/>
    <n v="1"/>
    <m/>
    <m/>
    <m/>
    <m/>
    <m/>
    <m/>
    <m/>
    <m/>
    <m/>
    <m/>
    <m/>
    <m/>
    <s v=""/>
    <m/>
    <n v="0"/>
  </r>
  <r>
    <x v="60"/>
    <s v="Crédit Agricole"/>
    <d v="2006-03-06T00:00:00"/>
    <d v="2021-03-02T00:00:00"/>
    <n v="15"/>
    <s v="Barrière"/>
    <s v="Struct"/>
    <x v="17"/>
    <n v="1"/>
    <m/>
    <m/>
    <m/>
    <m/>
    <m/>
    <m/>
    <m/>
    <m/>
    <m/>
    <m/>
    <m/>
    <m/>
    <s v=""/>
    <m/>
    <n v="0"/>
  </r>
  <r>
    <x v="61"/>
    <s v="Crédit Agricole"/>
    <d v="2006-03-06T00:00:00"/>
    <d v="2021-03-06T00:00:00"/>
    <n v="15"/>
    <s v="Fixe"/>
    <s v="Non_st"/>
    <x v="17"/>
    <n v="1"/>
    <m/>
    <m/>
    <m/>
    <m/>
    <m/>
    <n v="1603645"/>
    <n v="3.2199999999999999E-2"/>
    <n v="134667.23000000001"/>
    <n v="366518.59"/>
    <n v="71124.52"/>
    <n v="47409.08"/>
    <n v="572310.34000000008"/>
    <n v="0"/>
    <m/>
    <n v="0"/>
  </r>
  <r>
    <x v="63"/>
    <s v="Dexia CL"/>
    <d v="2006-07-01T00:00:00"/>
    <d v="2011-07-13T00:00:00"/>
    <n v="20"/>
    <s v="Change"/>
    <s v="Struct"/>
    <x v="17"/>
    <n v="1"/>
    <m/>
    <m/>
    <m/>
    <m/>
    <m/>
    <m/>
    <m/>
    <m/>
    <m/>
    <m/>
    <m/>
    <m/>
    <s v=""/>
    <m/>
    <n v="0"/>
  </r>
  <r>
    <x v="65"/>
    <s v="Dexia CL"/>
    <d v="2006-10-01T00:00:00"/>
    <d v="2009-10-01T00:00:00"/>
    <n v="19"/>
    <s v="Change"/>
    <s v="Struct"/>
    <x v="17"/>
    <n v="1"/>
    <m/>
    <m/>
    <m/>
    <m/>
    <m/>
    <m/>
    <m/>
    <m/>
    <m/>
    <m/>
    <m/>
    <m/>
    <s v=""/>
    <m/>
    <n v="0"/>
  </r>
  <r>
    <x v="66"/>
    <s v="Dexia CL"/>
    <d v="2006-10-01T00:00:00"/>
    <d v="2008-12-01T00:00:00"/>
    <n v="19.170000000000002"/>
    <s v="Change"/>
    <s v="Struct"/>
    <x v="17"/>
    <n v="1"/>
    <m/>
    <m/>
    <m/>
    <m/>
    <m/>
    <m/>
    <m/>
    <m/>
    <m/>
    <m/>
    <m/>
    <m/>
    <s v=""/>
    <m/>
    <n v="0"/>
  </r>
  <r>
    <x v="72"/>
    <s v="Dexia CL"/>
    <d v="2007-02-01T00:00:00"/>
    <d v="2008-08-08T00:00:00"/>
    <n v="18.75"/>
    <s v="Change"/>
    <s v="Struct"/>
    <x v="17"/>
    <n v="1"/>
    <m/>
    <m/>
    <m/>
    <m/>
    <m/>
    <m/>
    <m/>
    <m/>
    <m/>
    <m/>
    <m/>
    <m/>
    <s v=""/>
    <m/>
    <n v="0"/>
  </r>
  <r>
    <x v="73"/>
    <s v="Crédit Agricole"/>
    <d v="2007-04-10T00:00:00"/>
    <d v="2028-03-01T00:00:00"/>
    <n v="20"/>
    <s v="Pente"/>
    <s v="Struct"/>
    <x v="17"/>
    <n v="1"/>
    <m/>
    <m/>
    <m/>
    <m/>
    <m/>
    <n v="3086939"/>
    <n v="3.5400000000000001E-2"/>
    <n v="114772.67"/>
    <n v="234898.72"/>
    <m/>
    <n v="9003.57"/>
    <n v="349671.39"/>
    <n v="0"/>
    <m/>
    <n v="0"/>
  </r>
  <r>
    <x v="74"/>
    <s v="Dexia CL"/>
    <d v="2007-05-01T00:00:00"/>
    <d v="2009-12-29T00:00:00"/>
    <n v="17"/>
    <s v="Courbes"/>
    <s v="Struct"/>
    <x v="17"/>
    <n v="1"/>
    <m/>
    <m/>
    <m/>
    <m/>
    <m/>
    <m/>
    <m/>
    <m/>
    <m/>
    <m/>
    <m/>
    <m/>
    <s v=""/>
    <m/>
    <n v="0"/>
  </r>
  <r>
    <x v="75"/>
    <s v="Dexia CL"/>
    <d v="2007-05-01T00:00:00"/>
    <d v="2009-12-29T00:00:00"/>
    <n v="16.920000000000002"/>
    <s v="Écart d'inflation"/>
    <s v="Struct"/>
    <x v="17"/>
    <n v="1"/>
    <m/>
    <m/>
    <m/>
    <m/>
    <m/>
    <m/>
    <m/>
    <m/>
    <m/>
    <m/>
    <m/>
    <m/>
    <s v=""/>
    <m/>
    <n v="0"/>
  </r>
  <r>
    <x v="76"/>
    <s v="Société générale"/>
    <d v="2007-05-24T00:00:00"/>
    <d v="2009-04-01T00:00:00"/>
    <n v="19"/>
    <s v="Change"/>
    <s v="Struct"/>
    <x v="17"/>
    <n v="1"/>
    <m/>
    <m/>
    <m/>
    <m/>
    <m/>
    <m/>
    <m/>
    <m/>
    <m/>
    <m/>
    <m/>
    <m/>
    <s v=""/>
    <m/>
    <n v="0"/>
  </r>
  <r>
    <x v="77"/>
    <s v="Caisse d'Épargne"/>
    <d v="2007-07-25T00:00:00"/>
    <d v="2012-02-25T00:00:00"/>
    <n v="18.579999999999998"/>
    <s v="Courbes"/>
    <s v="Struct"/>
    <x v="17"/>
    <n v="1"/>
    <m/>
    <m/>
    <m/>
    <m/>
    <m/>
    <m/>
    <m/>
    <m/>
    <m/>
    <m/>
    <m/>
    <m/>
    <s v=""/>
    <m/>
    <n v="0"/>
  </r>
  <r>
    <x v="80"/>
    <s v="Dexia CL"/>
    <d v="2007-09-25T00:00:00"/>
    <d v="2010-01-01T00:00:00"/>
    <n v="25.42"/>
    <s v="Barrière avec multiplicateur"/>
    <s v="Struct"/>
    <x v="17"/>
    <n v="1"/>
    <m/>
    <m/>
    <m/>
    <m/>
    <m/>
    <m/>
    <m/>
    <m/>
    <m/>
    <m/>
    <m/>
    <m/>
    <s v=""/>
    <m/>
    <n v="0"/>
  </r>
  <r>
    <x v="82"/>
    <s v="Caisse d'Épargne"/>
    <d v="2007-12-31T00:00:00"/>
    <d v="2013-02-25T00:00:00"/>
    <n v="20"/>
    <s v="Courbes"/>
    <s v="Struct"/>
    <x v="17"/>
    <n v="1"/>
    <m/>
    <m/>
    <m/>
    <m/>
    <m/>
    <m/>
    <m/>
    <m/>
    <m/>
    <m/>
    <m/>
    <m/>
    <s v=""/>
    <m/>
    <n v="0"/>
  </r>
  <r>
    <x v="86"/>
    <s v="Dexia CL"/>
    <d v="2009-12-29T00:00:00"/>
    <d v="2010-05-01T00:00:00"/>
    <n v="20.83"/>
    <s v="Courbes"/>
    <s v="Struct"/>
    <x v="17"/>
    <n v="1"/>
    <m/>
    <m/>
    <m/>
    <m/>
    <m/>
    <m/>
    <m/>
    <m/>
    <m/>
    <m/>
    <m/>
    <m/>
    <s v=""/>
    <m/>
    <n v="0"/>
  </r>
  <r>
    <x v="87"/>
    <s v="Dexia CL"/>
    <d v="2008-08-08T00:00:00"/>
    <d v="2011-11-01T00:00:00"/>
    <n v="25.33"/>
    <s v="Change"/>
    <s v="Struct"/>
    <x v="17"/>
    <n v="1"/>
    <m/>
    <m/>
    <m/>
    <m/>
    <m/>
    <m/>
    <m/>
    <m/>
    <m/>
    <m/>
    <m/>
    <m/>
    <s v=""/>
    <m/>
    <n v="0"/>
  </r>
  <r>
    <x v="88"/>
    <s v="Dexia CL"/>
    <d v="2008-08-08T00:00:00"/>
    <d v="2012-11-01T00:00:00"/>
    <n v="25.33"/>
    <s v="Change"/>
    <s v="Struct"/>
    <x v="17"/>
    <n v="1"/>
    <m/>
    <m/>
    <m/>
    <m/>
    <m/>
    <m/>
    <m/>
    <m/>
    <m/>
    <m/>
    <m/>
    <m/>
    <s v=""/>
    <m/>
    <n v="0"/>
  </r>
  <r>
    <x v="89"/>
    <s v="Dexia CL"/>
    <d v="2012-11-01T00:00:00"/>
    <d v="2017-11-01T00:00:00"/>
    <n v="25"/>
    <s v="Change"/>
    <s v="Struct"/>
    <x v="17"/>
    <n v="1"/>
    <m/>
    <m/>
    <m/>
    <m/>
    <m/>
    <n v="0"/>
    <n v="2.9899999999999999E-2"/>
    <n v="232037.99"/>
    <n v="299211.53999999998"/>
    <m/>
    <n v="0"/>
    <n v="531249.53"/>
    <n v="0"/>
    <m/>
    <n v="7433000"/>
  </r>
  <r>
    <x v="90"/>
    <s v="Dexia CL"/>
    <d v="2008-12-01T00:00:00"/>
    <d v="2010-12-01T00:00:00"/>
    <n v="17"/>
    <s v="Change"/>
    <s v="Struct"/>
    <x v="17"/>
    <n v="1"/>
    <m/>
    <m/>
    <m/>
    <m/>
    <m/>
    <m/>
    <m/>
    <m/>
    <m/>
    <m/>
    <m/>
    <m/>
    <s v=""/>
    <m/>
    <n v="0"/>
  </r>
  <r>
    <x v="91"/>
    <s v="Dexia CL"/>
    <d v="2008-12-01T00:00:00"/>
    <d v="2012-12-01T00:00:00"/>
    <n v="25"/>
    <s v="Pente"/>
    <s v="Struct"/>
    <x v="17"/>
    <n v="1"/>
    <m/>
    <m/>
    <m/>
    <m/>
    <m/>
    <m/>
    <m/>
    <m/>
    <m/>
    <m/>
    <m/>
    <m/>
    <s v=""/>
    <m/>
    <n v="0"/>
  </r>
  <r>
    <x v="93"/>
    <s v="Dexia CL"/>
    <d v="2009-03-27T00:00:00"/>
    <d v="2029-04-01T00:00:00"/>
    <n v="20"/>
    <s v="Fixe"/>
    <s v="Non_st"/>
    <x v="17"/>
    <n v="1"/>
    <m/>
    <m/>
    <m/>
    <m/>
    <m/>
    <n v="4078647"/>
    <n v="4.53E-2"/>
    <n v="192838.35"/>
    <n v="265575.73"/>
    <m/>
    <n v="46188.42"/>
    <n v="458414.07999999996"/>
    <n v="0"/>
    <m/>
    <n v="0"/>
  </r>
  <r>
    <x v="94"/>
    <s v="Société générale"/>
    <d v="2009-04-01T00:00:00"/>
    <d v="2010-10-01T00:00:00"/>
    <n v="18"/>
    <s v="Change"/>
    <s v="Struct"/>
    <x v="17"/>
    <n v="1"/>
    <m/>
    <m/>
    <m/>
    <m/>
    <m/>
    <m/>
    <m/>
    <m/>
    <m/>
    <m/>
    <m/>
    <m/>
    <s v=""/>
    <m/>
    <n v="0"/>
  </r>
  <r>
    <x v="95"/>
    <s v="Dexia CL"/>
    <d v="2009-10-01T00:00:00"/>
    <d v="2010-10-01T00:00:00"/>
    <n v="16"/>
    <s v="Change"/>
    <s v="Struct"/>
    <x v="17"/>
    <n v="1"/>
    <m/>
    <m/>
    <m/>
    <m/>
    <m/>
    <m/>
    <m/>
    <m/>
    <m/>
    <m/>
    <m/>
    <m/>
    <s v=""/>
    <m/>
    <n v="0"/>
  </r>
  <r>
    <x v="98"/>
    <s v="Dexia CL"/>
    <d v="2009-11-01T00:00:00"/>
    <d v="2017-11-01T00:00:00"/>
    <n v="23"/>
    <s v="Pente"/>
    <s v="Struct"/>
    <x v="17"/>
    <n v="1"/>
    <m/>
    <m/>
    <m/>
    <m/>
    <m/>
    <n v="0"/>
    <n v="3.78E-2"/>
    <n v="376854.82"/>
    <n v="690542.22"/>
    <m/>
    <n v="0"/>
    <n v="1067397.04"/>
    <n v="0"/>
    <m/>
    <n v="9248000"/>
  </r>
  <r>
    <x v="96"/>
    <s v="Dexia CL"/>
    <d v="2009-11-16T00:00:00"/>
    <d v="2011-12-01T00:00:00"/>
    <n v="25"/>
    <s v="Variable"/>
    <s v="Non_st"/>
    <x v="17"/>
    <n v="1"/>
    <m/>
    <m/>
    <m/>
    <m/>
    <m/>
    <m/>
    <m/>
    <m/>
    <m/>
    <m/>
    <m/>
    <m/>
    <s v=""/>
    <m/>
    <n v="0"/>
  </r>
  <r>
    <x v="99"/>
    <s v="Caisse d'Épargne"/>
    <d v="2009-11-25T00:00:00"/>
    <d v="2026-11-25T00:00:00"/>
    <n v="17"/>
    <s v="Fixe"/>
    <s v="Restr_sec"/>
    <x v="17"/>
    <n v="1"/>
    <m/>
    <m/>
    <m/>
    <m/>
    <m/>
    <n v="2675168"/>
    <n v="4.7500000000000001E-2"/>
    <n v="139358.28"/>
    <n v="249284.32"/>
    <m/>
    <n v="12573.29"/>
    <n v="388642.6"/>
    <n v="0"/>
    <m/>
    <n v="0"/>
  </r>
  <r>
    <x v="97"/>
    <s v="Arkea"/>
    <d v="2009-12-21T00:00:00"/>
    <d v="2030-10-30T00:00:00"/>
    <n v="20"/>
    <s v="Variable"/>
    <s v="Non_st"/>
    <x v="17"/>
    <n v="1"/>
    <m/>
    <m/>
    <m/>
    <m/>
    <m/>
    <m/>
    <m/>
    <m/>
    <m/>
    <m/>
    <m/>
    <m/>
    <s v=""/>
    <m/>
    <n v="0"/>
  </r>
  <r>
    <x v="100"/>
    <s v="Société générale"/>
    <d v="2010-10-01T00:00:00"/>
    <d v="2014-01-01T00:00:00"/>
    <n v="25"/>
    <s v="Barrière avec multiplicateur"/>
    <s v="Struct"/>
    <x v="17"/>
    <n v="1"/>
    <m/>
    <m/>
    <m/>
    <m/>
    <m/>
    <m/>
    <m/>
    <m/>
    <m/>
    <m/>
    <m/>
    <m/>
    <s v=""/>
    <m/>
    <n v="0"/>
  </r>
  <r>
    <x v="101"/>
    <s v="Dexia CL"/>
    <d v="2010-01-01T00:00:00"/>
    <d v="2011-11-01T00:00:00"/>
    <n v="23"/>
    <s v="Barrière avec multiplicateur"/>
    <s v="Struct"/>
    <x v="17"/>
    <n v="1"/>
    <m/>
    <m/>
    <m/>
    <m/>
    <m/>
    <m/>
    <m/>
    <m/>
    <m/>
    <m/>
    <m/>
    <m/>
    <s v=""/>
    <m/>
    <n v="0"/>
  </r>
  <r>
    <x v="102"/>
    <s v="Société générale"/>
    <d v="2010-10-01T00:00:00"/>
    <d v="2014-04-01T00:00:00"/>
    <n v="25"/>
    <s v="Barrière avec multiplicateur"/>
    <s v="Struct"/>
    <x v="17"/>
    <n v="1"/>
    <m/>
    <m/>
    <m/>
    <m/>
    <m/>
    <m/>
    <m/>
    <m/>
    <m/>
    <m/>
    <m/>
    <m/>
    <s v=""/>
    <m/>
    <n v="0"/>
  </r>
  <r>
    <x v="103"/>
    <s v="Dexia CL"/>
    <d v="2010-05-01T00:00:00"/>
    <d v="2011-07-13T00:00:00"/>
    <n v="19"/>
    <s v="Barrière avec multiplicateur"/>
    <s v="Struct"/>
    <x v="17"/>
    <n v="1"/>
    <m/>
    <m/>
    <m/>
    <m/>
    <m/>
    <m/>
    <m/>
    <m/>
    <m/>
    <m/>
    <m/>
    <m/>
    <s v=""/>
    <m/>
    <n v="0"/>
  </r>
  <r>
    <x v="104"/>
    <s v="Dexia CL"/>
    <d v="2010-10-01T00:00:00"/>
    <d v="2011-05-01T00:00:00"/>
    <n v="12"/>
    <s v="Change"/>
    <s v="Struct"/>
    <x v="17"/>
    <n v="1"/>
    <m/>
    <m/>
    <m/>
    <m/>
    <m/>
    <m/>
    <m/>
    <m/>
    <m/>
    <m/>
    <m/>
    <m/>
    <s v=""/>
    <m/>
    <n v="0"/>
  </r>
  <r>
    <x v="105"/>
    <s v="Dexia CL"/>
    <d v="2010-07-25T00:00:00"/>
    <d v="2025-09-01T00:00:00"/>
    <n v="15"/>
    <s v="Fixe"/>
    <s v="Non_st"/>
    <x v="17"/>
    <n v="1"/>
    <m/>
    <m/>
    <m/>
    <m/>
    <m/>
    <n v="417363"/>
    <n v="2.1299999999999999E-2"/>
    <n v="9588.66"/>
    <n v="48997.42"/>
    <m/>
    <n v="719.49"/>
    <n v="58586.080000000002"/>
    <n v="0"/>
    <m/>
    <n v="0"/>
  </r>
  <r>
    <x v="106"/>
    <s v="Société générale"/>
    <d v="2010-09-01T00:00:00"/>
    <d v="2030-12-01T00:00:00"/>
    <n v="20"/>
    <s v="Fixe"/>
    <s v="Restr_sec"/>
    <x v="17"/>
    <n v="1"/>
    <m/>
    <m/>
    <m/>
    <m/>
    <m/>
    <n v="1349497"/>
    <n v="4.3799999999999999E-2"/>
    <n v="61636.02"/>
    <n v="72558.929999999993"/>
    <m/>
    <n v="4869.4399999999996"/>
    <n v="134194.94999999998"/>
    <n v="0"/>
    <m/>
    <n v="0"/>
  </r>
  <r>
    <x v="107"/>
    <s v="Dexia CL"/>
    <d v="2010-10-01T00:00:00"/>
    <d v="2012-05-01T00:00:00"/>
    <n v="15"/>
    <s v="Change"/>
    <s v="Struct"/>
    <x v="17"/>
    <n v="1"/>
    <m/>
    <m/>
    <m/>
    <m/>
    <m/>
    <m/>
    <m/>
    <m/>
    <m/>
    <m/>
    <m/>
    <m/>
    <s v=""/>
    <m/>
    <n v="0"/>
  </r>
  <r>
    <x v="108"/>
    <s v="Dexia CL"/>
    <d v="2010-12-01T00:00:00"/>
    <d v="2011-12-01T00:00:00"/>
    <n v="17"/>
    <s v="Change"/>
    <s v="Struct"/>
    <x v="17"/>
    <n v="1"/>
    <m/>
    <m/>
    <m/>
    <m/>
    <m/>
    <m/>
    <m/>
    <m/>
    <m/>
    <m/>
    <m/>
    <m/>
    <s v=""/>
    <m/>
    <n v="0"/>
  </r>
  <r>
    <x v="109"/>
    <s v="Société générale"/>
    <d v="2010-12-01T00:00:00"/>
    <d v="2030-12-01T00:00:00"/>
    <n v="20"/>
    <s v="Fixe"/>
    <s v="Restr_sec"/>
    <x v="17"/>
    <n v="1"/>
    <m/>
    <m/>
    <m/>
    <m/>
    <m/>
    <n v="1938825"/>
    <n v="4.3799999999999999E-2"/>
    <n v="89693.67"/>
    <n v="104245.56"/>
    <m/>
    <n v="6995.92"/>
    <n v="193939.22999999998"/>
    <n v="0"/>
    <m/>
    <n v="0"/>
  </r>
  <r>
    <x v="83"/>
    <s v="Société générale"/>
    <d v="2010-12-18T00:00:00"/>
    <d v="2026-03-31T00:00:00"/>
    <n v="15"/>
    <s v="Variable"/>
    <s v="Non_st"/>
    <x v="17"/>
    <n v="1"/>
    <m/>
    <m/>
    <m/>
    <m/>
    <m/>
    <n v="5128990"/>
    <n v="5.7999999999999996E-3"/>
    <n v="31639.81"/>
    <n v="489204.72"/>
    <m/>
    <n v="0"/>
    <n v="520844.52999999997"/>
    <n v="0"/>
    <m/>
    <n v="0"/>
  </r>
  <r>
    <x v="110"/>
    <s v="Dexia CL"/>
    <d v="2011-04-01T00:00:00"/>
    <d v="2014-05-01T00:00:00"/>
    <n v="25"/>
    <s v="Barrière avec multiplicateur"/>
    <s v="Struct"/>
    <x v="17"/>
    <n v="1"/>
    <m/>
    <m/>
    <m/>
    <m/>
    <m/>
    <m/>
    <m/>
    <m/>
    <m/>
    <m/>
    <m/>
    <m/>
    <s v=""/>
    <m/>
    <n v="0"/>
  </r>
  <r>
    <x v="111"/>
    <s v="Dexia CL"/>
    <d v="2011-07-01T00:00:00"/>
    <d v="2036-05-01T00:00:00"/>
    <n v="25"/>
    <s v="Barrière avec multiplicateur"/>
    <s v="Struct"/>
    <x v="17"/>
    <n v="1"/>
    <m/>
    <m/>
    <m/>
    <m/>
    <m/>
    <n v="12474942"/>
    <n v="4.0300000000000002E-2"/>
    <n v="520401.69"/>
    <n v="389040.11"/>
    <m/>
    <n v="337364.02"/>
    <n v="909441.8"/>
    <n v="0"/>
    <m/>
    <n v="0"/>
  </r>
  <r>
    <x v="84"/>
    <s v="Dexia CL"/>
    <d v="2011-07-13T00:00:00"/>
    <d v="2016-10-01T00:00:00"/>
    <n v="15"/>
    <s v="Change"/>
    <s v="Struct"/>
    <x v="17"/>
    <n v="1"/>
    <m/>
    <m/>
    <m/>
    <m/>
    <m/>
    <m/>
    <m/>
    <m/>
    <m/>
    <m/>
    <m/>
    <m/>
    <s v=""/>
    <m/>
    <n v="0"/>
  </r>
  <r>
    <x v="112"/>
    <s v="Caisse d'Épargne"/>
    <d v="2011-07-08T00:00:00"/>
    <d v="2027-05-29T00:00:00"/>
    <n v="15"/>
    <s v="Variable"/>
    <s v="Non_st"/>
    <x v="17"/>
    <n v="1"/>
    <m/>
    <m/>
    <m/>
    <m/>
    <m/>
    <n v="3580682"/>
    <n v="9.2999999999999992E-3"/>
    <n v="35050.199999999997"/>
    <n v="287717.49"/>
    <m/>
    <n v="2950.87"/>
    <n v="322767.69"/>
    <n v="0"/>
    <m/>
    <n v="0"/>
  </r>
  <r>
    <x v="113"/>
    <s v="Caisse d'Épargne"/>
    <d v="2011-07-08T00:00:00"/>
    <d v="2027-05-29T00:00:00"/>
    <n v="15"/>
    <s v="Variable"/>
    <s v="Non_st"/>
    <x v="17"/>
    <n v="1"/>
    <m/>
    <m/>
    <m/>
    <m/>
    <m/>
    <n v="3580682"/>
    <n v="6.3E-3"/>
    <n v="23774.7"/>
    <n v="287717.49"/>
    <m/>
    <n v="2009.11"/>
    <n v="311492.19"/>
    <n v="0"/>
    <m/>
    <n v="0"/>
  </r>
  <r>
    <x v="114"/>
    <s v="Dexia CL"/>
    <d v="2011-11-01T00:00:00"/>
    <d v="2018-01-01T00:00:00"/>
    <n v="21.17"/>
    <s v="Barrière avec multiplicateur"/>
    <s v="Struct"/>
    <x v="17"/>
    <n v="1"/>
    <m/>
    <m/>
    <m/>
    <m/>
    <m/>
    <n v="7236012"/>
    <n v="3.5400000000000001E-2"/>
    <n v="274478.62"/>
    <n v="477672.67"/>
    <m/>
    <n v="256074.44"/>
    <n v="752151.29"/>
    <n v="0"/>
    <m/>
    <n v="0"/>
  </r>
  <r>
    <x v="115"/>
    <s v="Dexia CL"/>
    <d v="2011-11-01T00:00:00"/>
    <d v="2014-01-15T00:00:00"/>
    <n v="22"/>
    <s v="Change"/>
    <s v="Struct"/>
    <x v="17"/>
    <n v="1"/>
    <m/>
    <m/>
    <m/>
    <m/>
    <m/>
    <m/>
    <m/>
    <m/>
    <m/>
    <m/>
    <m/>
    <m/>
    <s v=""/>
    <m/>
    <n v="0"/>
  </r>
  <r>
    <x v="116"/>
    <s v="Dexia CL"/>
    <d v="2011-12-01T00:00:00"/>
    <d v="2012-12-01T00:00:00"/>
    <n v="18"/>
    <s v="Change"/>
    <s v="Struct"/>
    <x v="17"/>
    <n v="1"/>
    <m/>
    <m/>
    <m/>
    <m/>
    <m/>
    <m/>
    <m/>
    <m/>
    <m/>
    <m/>
    <m/>
    <m/>
    <s v=""/>
    <m/>
    <n v="0"/>
  </r>
  <r>
    <x v="117"/>
    <s v="Dexia CL"/>
    <d v="2011-12-01T00:00:00"/>
    <d v="2035-12-01T00:00:00"/>
    <n v="24"/>
    <s v="Variable"/>
    <s v="Non_st"/>
    <x v="17"/>
    <n v="1"/>
    <m/>
    <m/>
    <m/>
    <m/>
    <m/>
    <n v="3738095"/>
    <n v="6.9999999999999999E-4"/>
    <n v="2912.34"/>
    <n v="186387.89"/>
    <m/>
    <n v="221.17"/>
    <n v="189300.23"/>
    <n v="0"/>
    <m/>
    <n v="0"/>
  </r>
  <r>
    <x v="118"/>
    <s v="Caisse d'Épargne"/>
    <d v="2012-01-05T00:00:00"/>
    <d v="2032-01-05T00:00:00"/>
    <n v="20"/>
    <s v="Barrière"/>
    <s v="Struct"/>
    <x v="17"/>
    <n v="1"/>
    <m/>
    <m/>
    <m/>
    <m/>
    <m/>
    <n v="5267453"/>
    <n v="4.9000000000000002E-2"/>
    <n v="272734.65000000002"/>
    <n v="263754.71999999997"/>
    <m/>
    <n v="255471.48"/>
    <n v="536489.37"/>
    <n v="0"/>
    <m/>
    <n v="0"/>
  </r>
  <r>
    <x v="119"/>
    <s v="CDC"/>
    <d v="2012-03-23T00:00:00"/>
    <d v="2027-10-01T00:00:00"/>
    <n v="15.25"/>
    <s v="Variable"/>
    <s v="Non_st"/>
    <x v="17"/>
    <n v="1"/>
    <m/>
    <m/>
    <m/>
    <m/>
    <m/>
    <m/>
    <m/>
    <m/>
    <m/>
    <m/>
    <m/>
    <m/>
    <s v=""/>
    <m/>
    <n v="0"/>
  </r>
  <r>
    <x v="122"/>
    <s v="Dexia CL"/>
    <d v="2012-05-01T00:00:00"/>
    <d v="2031-10-01T00:00:00"/>
    <n v="19.420000000000002"/>
    <s v="Barrière avec multiplicateur"/>
    <s v="Struct"/>
    <x v="17"/>
    <n v="1"/>
    <m/>
    <m/>
    <m/>
    <m/>
    <m/>
    <n v="12569257"/>
    <n v="1.6199999999999999E-2"/>
    <n v="209667.15"/>
    <n v="610793.69999999995"/>
    <m/>
    <n v="54631.5"/>
    <n v="820460.85"/>
    <n v="0"/>
    <m/>
    <n v="0"/>
  </r>
  <r>
    <x v="123"/>
    <s v="Dexia CL"/>
    <d v="2012-05-01T00:00:00"/>
    <d v="2014-05-01T00:00:00"/>
    <n v="17"/>
    <s v="Change"/>
    <s v="Struct"/>
    <x v="17"/>
    <n v="1"/>
    <m/>
    <m/>
    <m/>
    <m/>
    <m/>
    <m/>
    <m/>
    <m/>
    <m/>
    <m/>
    <m/>
    <m/>
    <s v=""/>
    <m/>
    <n v="0"/>
  </r>
  <r>
    <x v="125"/>
    <s v="Dexia CL"/>
    <d v="2012-05-01T00:00:00"/>
    <d v="2013-06-01T00:00:00"/>
    <n v="15"/>
    <s v="Variable"/>
    <s v="Non_st"/>
    <x v="17"/>
    <n v="1"/>
    <m/>
    <m/>
    <m/>
    <m/>
    <m/>
    <m/>
    <m/>
    <m/>
    <m/>
    <m/>
    <m/>
    <m/>
    <s v=""/>
    <m/>
    <n v="0"/>
  </r>
  <r>
    <x v="126"/>
    <s v="Caisse d'Épargne"/>
    <d v="2012-09-15T00:00:00"/>
    <d v="2033-07-25T00:00:00"/>
    <n v="20.8"/>
    <s v="Fixe"/>
    <s v="Non_st"/>
    <x v="17"/>
    <n v="1"/>
    <m/>
    <m/>
    <m/>
    <m/>
    <m/>
    <n v="17236083"/>
    <n v="4.5100000000000001E-2"/>
    <n v="798506.77"/>
    <n v="703787.81"/>
    <m/>
    <n v="143007.54999999999"/>
    <n v="1502294.58"/>
    <n v="0"/>
    <m/>
    <n v="0"/>
  </r>
  <r>
    <x v="127"/>
    <s v="Dexia CL"/>
    <d v="2012-12-01T00:00:00"/>
    <d v="2016-11-01T00:00:00"/>
    <n v="17"/>
    <s v="Change"/>
    <s v="Struct"/>
    <x v="17"/>
    <n v="1"/>
    <m/>
    <m/>
    <m/>
    <m/>
    <m/>
    <m/>
    <m/>
    <m/>
    <m/>
    <m/>
    <m/>
    <m/>
    <s v=""/>
    <m/>
    <n v="0"/>
  </r>
  <r>
    <x v="128"/>
    <s v="Dexia CL"/>
    <d v="2012-12-01T00:00:00"/>
    <d v="2033-12-01T00:00:00"/>
    <n v="21"/>
    <s v="Fixe"/>
    <s v="Restr_sec"/>
    <x v="17"/>
    <n v="1"/>
    <m/>
    <m/>
    <m/>
    <m/>
    <m/>
    <n v="4946181"/>
    <n v="5.21E-2"/>
    <n v="293584.78000000003"/>
    <n v="676403.01"/>
    <m/>
    <n v="21227.360000000001"/>
    <n v="969987.79"/>
    <n v="0"/>
    <m/>
    <n v="0"/>
  </r>
  <r>
    <x v="130"/>
    <s v="Caisse d'Épargne"/>
    <d v="2013-02-25T00:00:00"/>
    <d v="2033-02-25T00:00:00"/>
    <n v="20"/>
    <s v="Fixe"/>
    <s v="Restr_sec"/>
    <x v="17"/>
    <n v="1"/>
    <m/>
    <m/>
    <m/>
    <m/>
    <m/>
    <n v="3417940"/>
    <n v="4.4900000000000002E-2"/>
    <n v="157826.63"/>
    <n v="146170.31"/>
    <m/>
    <n v="15170.04"/>
    <n v="303996.94"/>
    <n v="0"/>
    <m/>
    <n v="0"/>
  </r>
  <r>
    <x v="131"/>
    <s v="Dexia CL"/>
    <d v="2013-06-01T00:00:00"/>
    <d v="2033-06-01T00:00:00"/>
    <n v="20"/>
    <s v="Fixe"/>
    <s v="Restr_sec"/>
    <x v="17"/>
    <n v="1"/>
    <m/>
    <m/>
    <m/>
    <m/>
    <m/>
    <n v="14256111"/>
    <n v="5.04E-2"/>
    <n v="753120.76"/>
    <n v="659632.74"/>
    <m/>
    <n v="420056.31"/>
    <n v="1412753.5"/>
    <n v="0"/>
    <m/>
    <n v="0"/>
  </r>
  <r>
    <x v="132"/>
    <s v="Caisse d'Épargne"/>
    <d v="2013-12-31T00:00:00"/>
    <d v="2033-12-31T00:00:00"/>
    <n v="20"/>
    <s v="Fixe"/>
    <s v="Non_st"/>
    <x v="17"/>
    <n v="1"/>
    <m/>
    <m/>
    <m/>
    <m/>
    <m/>
    <n v="8000000"/>
    <n v="4.3999999999999997E-2"/>
    <n v="374885.42"/>
    <n v="500000"/>
    <m/>
    <n v="0"/>
    <n v="874885.41999999993"/>
    <n v="0"/>
    <m/>
    <n v="0"/>
  </r>
  <r>
    <x v="133"/>
    <s v="Société générale"/>
    <d v="2014-01-01T00:00:00"/>
    <d v="2035-01-01T00:00:00"/>
    <n v="21"/>
    <s v="Fixe"/>
    <s v="Restr_sec"/>
    <x v="17"/>
    <n v="1"/>
    <m/>
    <m/>
    <m/>
    <m/>
    <m/>
    <n v="3712297"/>
    <n v="4.8500000000000001E-2"/>
    <n v="181184.58"/>
    <n v="125674.42"/>
    <m/>
    <n v="14849.19"/>
    <n v="306859"/>
    <n v="0"/>
    <m/>
    <n v="0"/>
  </r>
  <r>
    <x v="134"/>
    <s v="Dexia CL"/>
    <d v="2014-01-15T00:00:00"/>
    <d v="2033-11-01T00:00:00"/>
    <n v="19.829999999999998"/>
    <s v="Fixe"/>
    <s v="Restr_sec"/>
    <x v="17"/>
    <n v="1"/>
    <m/>
    <m/>
    <m/>
    <m/>
    <m/>
    <n v="20172935"/>
    <n v="4.6899999999999997E-2"/>
    <n v="1004570.59"/>
    <n v="1180714.81"/>
    <m/>
    <n v="156004.03"/>
    <n v="2185285.4"/>
    <n v="0"/>
    <m/>
    <n v="0"/>
  </r>
  <r>
    <x v="135"/>
    <s v="Caisse d'Épargne"/>
    <d v="2014-02-25T00:00:00"/>
    <d v="2018-02-25T00:00:00"/>
    <n v="5"/>
    <s v="Courbes"/>
    <s v="Struct"/>
    <x v="17"/>
    <n v="1"/>
    <m/>
    <m/>
    <m/>
    <m/>
    <m/>
    <n v="5335570"/>
    <n v="0.1011"/>
    <n v="303935.53999999998"/>
    <n v="643489.56000000006"/>
    <m/>
    <n v="503766.75"/>
    <n v="947425.10000000009"/>
    <n v="0"/>
    <m/>
    <n v="0"/>
  </r>
  <r>
    <x v="136"/>
    <s v="Caisse d'Épargne"/>
    <d v="2014-02-25T00:00:00"/>
    <d v="2026-02-25T00:00:00"/>
    <n v="12"/>
    <s v="Fixe"/>
    <s v="Restr_sec"/>
    <x v="17"/>
    <n v="1"/>
    <m/>
    <m/>
    <m/>
    <m/>
    <m/>
    <n v="1874660"/>
    <n v="4.7800000000000002E-2"/>
    <n v="101021.59"/>
    <n v="226090.93"/>
    <m/>
    <n v="76109.61"/>
    <n v="327112.52"/>
    <n v="0"/>
    <m/>
    <n v="0"/>
  </r>
  <r>
    <x v="137"/>
    <s v="Société générale"/>
    <d v="2014-04-01T00:00:00"/>
    <d v="2035-04-01T00:00:00"/>
    <n v="21"/>
    <s v="Fixe"/>
    <s v="Restr_sec"/>
    <x v="17"/>
    <n v="1"/>
    <m/>
    <m/>
    <m/>
    <m/>
    <m/>
    <n v="3094916"/>
    <n v="4.8500000000000001E-2"/>
    <n v="152309.6"/>
    <n v="104773.9"/>
    <m/>
    <n v="12379.66"/>
    <n v="257083.5"/>
    <n v="0"/>
    <m/>
    <n v="0"/>
  </r>
  <r>
    <x v="138"/>
    <s v="Dexia CL"/>
    <d v="2014-05-01T00:00:00"/>
    <d v="2029-05-01T00:00:00"/>
    <n v="15"/>
    <s v="Fixe"/>
    <s v="Non_st"/>
    <x v="17"/>
    <n v="1"/>
    <m/>
    <m/>
    <m/>
    <m/>
    <m/>
    <n v="5123436"/>
    <n v="0.04"/>
    <n v="218014.09"/>
    <n v="306554.23999999999"/>
    <m/>
    <n v="137513.01"/>
    <n v="524568.32999999996"/>
    <n v="0"/>
    <m/>
    <n v="0"/>
  </r>
  <r>
    <x v="139"/>
    <s v="Dexia CL"/>
    <d v="2014-05-01T00:00:00"/>
    <d v="2036-05-01T00:00:00"/>
    <n v="22"/>
    <s v="Fixe"/>
    <s v="Restr_aidé"/>
    <x v="17"/>
    <n v="1"/>
    <m/>
    <m/>
    <m/>
    <m/>
    <m/>
    <n v="33390826"/>
    <n v="4.7199999999999999E-2"/>
    <n v="1652047.67"/>
    <n v="1500328.05"/>
    <m/>
    <n v="1056893.83"/>
    <n v="3152375.7199999997"/>
    <n v="0"/>
    <m/>
    <n v="0"/>
  </r>
  <r>
    <x v="140"/>
    <s v="Société générale"/>
    <d v="2014-06-30T00:00:00"/>
    <d v="2035-05-31T00:00:00"/>
    <n v="20"/>
    <s v="Variable"/>
    <s v="Non_st"/>
    <x v="17"/>
    <n v="1"/>
    <m/>
    <m/>
    <m/>
    <m/>
    <m/>
    <n v="4375000"/>
    <n v="1.52E-2"/>
    <n v="69155.19"/>
    <n v="250000"/>
    <m/>
    <n v="10930.21"/>
    <n v="319155.19"/>
    <n v="0"/>
    <m/>
    <n v="0"/>
  </r>
  <r>
    <x v="141"/>
    <s v="Caisse d'Épargne"/>
    <d v="2014-09-30T00:00:00"/>
    <d v="2034-09-30T00:00:00"/>
    <n v="20"/>
    <s v="Fixe"/>
    <s v="Non_st"/>
    <x v="17"/>
    <n v="1"/>
    <m/>
    <m/>
    <m/>
    <m/>
    <m/>
    <n v="8500000"/>
    <n v="4.3999999999999997E-2"/>
    <n v="396937.5"/>
    <n v="500000"/>
    <m/>
    <n v="94491.67"/>
    <n v="896937.5"/>
    <n v="0"/>
    <m/>
    <n v="0"/>
  </r>
  <r>
    <x v="142"/>
    <s v="Caisse d'Épargne"/>
    <d v="2014-12-31T00:00:00"/>
    <d v="2034-12-31T00:00:00"/>
    <n v="20"/>
    <s v="Fixe"/>
    <s v="Non_st"/>
    <x v="17"/>
    <n v="1"/>
    <m/>
    <m/>
    <m/>
    <m/>
    <m/>
    <n v="8500000"/>
    <n v="4.2299999999999997E-2"/>
    <n v="381425"/>
    <n v="500000"/>
    <m/>
    <n v="0"/>
    <n v="881425"/>
    <n v="0"/>
    <m/>
    <n v="0"/>
  </r>
  <r>
    <x v="143"/>
    <s v="Crédit Foncier"/>
    <d v="2015-02-13T00:00:00"/>
    <d v="2030-02-13T00:00:00"/>
    <n v="15"/>
    <s v="Fixe"/>
    <s v="Non_st"/>
    <x v="17"/>
    <n v="1"/>
    <m/>
    <m/>
    <m/>
    <m/>
    <m/>
    <n v="4333333"/>
    <n v="3.7100000000000001E-2"/>
    <n v="173600"/>
    <n v="333333.33"/>
    <m/>
    <n v="141945.56"/>
    <n v="506933.33"/>
    <n v="0"/>
    <m/>
    <n v="0"/>
  </r>
  <r>
    <x v="144"/>
    <s v="Dexia CL"/>
    <d v="2015-05-01T00:00:00"/>
    <d v="2035-05-01T00:00:00"/>
    <n v="20"/>
    <s v="Fixe"/>
    <s v="Restr_aidé"/>
    <x v="17"/>
    <n v="1"/>
    <m/>
    <m/>
    <m/>
    <m/>
    <m/>
    <n v="16659997"/>
    <n v="3.5000000000000003E-2"/>
    <n v="604227.39"/>
    <n v="563999.97"/>
    <m/>
    <n v="390695.45"/>
    <n v="1168227.3599999999"/>
    <n v="0"/>
    <m/>
    <n v="0"/>
  </r>
  <r>
    <x v="145"/>
    <s v="Dexia CL"/>
    <d v="2015-12-01T00:00:00"/>
    <d v="2040-12-01T00:00:00"/>
    <n v="25"/>
    <s v="Fixe"/>
    <s v="Restr_sec"/>
    <x v="17"/>
    <n v="1"/>
    <m/>
    <m/>
    <m/>
    <m/>
    <m/>
    <n v="8613427"/>
    <n v="3.27E-2"/>
    <n v="288562.02"/>
    <n v="198000.73"/>
    <m/>
    <n v="23184.48"/>
    <n v="486562.75"/>
    <n v="0"/>
    <m/>
    <n v="0"/>
  </r>
  <r>
    <x v="146"/>
    <s v="CDC"/>
    <d v="2016-01-01T00:00:00"/>
    <d v="2031-01-01T00:00:00"/>
    <n v="15"/>
    <s v="Livret A"/>
    <s v="Livr_A"/>
    <x v="17"/>
    <n v="1"/>
    <m/>
    <m/>
    <m/>
    <m/>
    <m/>
    <n v="4232639"/>
    <n v="1.49E-2"/>
    <n v="66113.64"/>
    <n v="319444.44"/>
    <m/>
    <n v="15608.51"/>
    <n v="385558.08"/>
    <n v="0"/>
    <m/>
    <n v="0"/>
  </r>
  <r>
    <x v="147"/>
    <s v="Arkea"/>
    <d v="2016-02-08T00:00:00"/>
    <d v="2036-01-30T00:00:00"/>
    <n v="20"/>
    <s v="Fixe"/>
    <s v="Non_st"/>
    <x v="17"/>
    <n v="1"/>
    <m/>
    <m/>
    <m/>
    <m/>
    <m/>
    <n v="9301876"/>
    <n v="2.3699999999999999E-2"/>
    <n v="227389.21"/>
    <n v="402474.39"/>
    <m/>
    <n v="36897.440000000002"/>
    <n v="629863.6"/>
    <n v="0"/>
    <m/>
    <n v="0"/>
  </r>
  <r>
    <x v="148"/>
    <s v="Dexia CL"/>
    <d v="2016-10-01T00:00:00"/>
    <d v="2036-07-01T00:00:00"/>
    <n v="19.75"/>
    <s v="Fixe"/>
    <s v="Restr_aidé"/>
    <x v="17"/>
    <n v="1"/>
    <m/>
    <m/>
    <m/>
    <m/>
    <m/>
    <n v="10145369"/>
    <n v="4.1000000000000002E-2"/>
    <n v="321306.8"/>
    <n v="316390.68"/>
    <m/>
    <n v="208867.79"/>
    <n v="637697.48"/>
    <n v="0"/>
    <m/>
    <n v="0"/>
  </r>
  <r>
    <x v="149"/>
    <s v="Dexia CL"/>
    <d v="2016-10-01T00:00:00"/>
    <d v="2036-07-01T00:00:00"/>
    <n v="19.75"/>
    <s v="Fixe"/>
    <s v="Non_st"/>
    <x v="17"/>
    <n v="1"/>
    <m/>
    <m/>
    <m/>
    <m/>
    <m/>
    <n v="2909272"/>
    <n v="2.7799999999999998E-2"/>
    <n v="62562.5"/>
    <n v="90727.76"/>
    <m/>
    <n v="40660.199999999997"/>
    <n v="153290.26"/>
    <n v="0"/>
    <m/>
    <n v="0"/>
  </r>
  <r>
    <x v="150"/>
    <s v="Dexia CL"/>
    <d v="2016-11-01T00:00:00"/>
    <d v="2035-12-01T00:00:00"/>
    <n v="19.079999999999998"/>
    <s v="Fixe"/>
    <s v="Restr_aidé"/>
    <x v="17"/>
    <n v="1"/>
    <m/>
    <m/>
    <m/>
    <m/>
    <m/>
    <n v="8685532"/>
    <n v="3.0099999999999998E-2"/>
    <n v="271307.68"/>
    <n v="294036.06"/>
    <m/>
    <n v="21569.07"/>
    <n v="565343.74"/>
    <n v="0"/>
    <m/>
    <n v="0"/>
  </r>
  <r>
    <x v="151"/>
    <s v="Dexia CL"/>
    <d v="2016-11-01T00:00:00"/>
    <d v="2035-11-01T00:00:00"/>
    <n v="19"/>
    <s v="Fixe"/>
    <s v="Non_st"/>
    <x v="17"/>
    <n v="1"/>
    <m/>
    <m/>
    <m/>
    <m/>
    <m/>
    <n v="16443335"/>
    <n v="2.7799999999999998E-2"/>
    <n v="473993.06"/>
    <n v="556665.18000000005"/>
    <m/>
    <n v="75365.279999999999"/>
    <n v="1030658.24"/>
    <n v="0"/>
    <m/>
    <n v="0"/>
  </r>
  <r>
    <x v="152"/>
    <s v="Dexia CL"/>
    <d v="2017-11-01T00:00:00"/>
    <d v="2037-11-01T00:00:00"/>
    <n v="20"/>
    <s v="Fixe"/>
    <s v="Restr_aidé"/>
    <x v="17"/>
    <n v="1"/>
    <m/>
    <m/>
    <m/>
    <m/>
    <m/>
    <n v="10632524"/>
    <n v="3.5900000000000001E-2"/>
    <n v="0"/>
    <n v="0"/>
    <m/>
    <n v="62909.1"/>
    <n v="0"/>
    <n v="0"/>
    <m/>
    <n v="0"/>
  </r>
  <r>
    <x v="153"/>
    <s v="Dexia CL"/>
    <d v="2017-11-01T00:00:00"/>
    <d v="2037-11-01T00:00:00"/>
    <n v="20"/>
    <s v="Fixe"/>
    <s v="Non_st"/>
    <x v="17"/>
    <n v="1"/>
    <m/>
    <m/>
    <m/>
    <m/>
    <m/>
    <n v="17000000"/>
    <n v="2.7799999999999998E-2"/>
    <n v="0"/>
    <n v="0"/>
    <m/>
    <n v="77916.67"/>
    <n v="0"/>
    <n v="0"/>
    <m/>
    <n v="0"/>
  </r>
  <r>
    <x v="154"/>
    <s v="Dexia CL"/>
    <d v="2017-11-01T00:00:00"/>
    <d v="2034-11-01T00:00:00"/>
    <n v="17"/>
    <s v="Fixe"/>
    <s v="Restr_aidé"/>
    <x v="17"/>
    <n v="1"/>
    <m/>
    <m/>
    <m/>
    <m/>
    <m/>
    <n v="9247758"/>
    <n v="3.7199999999999997E-2"/>
    <n v="0"/>
    <n v="0"/>
    <m/>
    <n v="56719.58"/>
    <n v="0"/>
    <n v="0"/>
    <m/>
    <n v="0"/>
  </r>
  <r>
    <x v="155"/>
    <s v="Dexia CL"/>
    <d v="2017-11-01T00:00:00"/>
    <d v="2034-11-01T00:00:00"/>
    <n v="17"/>
    <s v="Fixe"/>
    <s v="Non_st"/>
    <x v="17"/>
    <n v="1"/>
    <m/>
    <m/>
    <m/>
    <m/>
    <m/>
    <n v="3000000"/>
    <n v="2.7799999999999998E-2"/>
    <n v="0"/>
    <n v="0"/>
    <m/>
    <n v="13750"/>
    <n v="0"/>
    <n v="0"/>
    <m/>
    <n v="0"/>
  </r>
  <r>
    <x v="156"/>
    <s v="Dexia CL"/>
    <d v="2018-01-01T00:00:00"/>
    <d v="2033-01-01T00:00:00"/>
    <n v="15"/>
    <s v="Fixe"/>
    <s v="Restr_aidé"/>
    <x v="17"/>
    <n v="0"/>
    <m/>
    <m/>
    <m/>
    <m/>
    <m/>
    <m/>
    <m/>
    <m/>
    <m/>
    <m/>
    <m/>
    <m/>
    <s v=""/>
    <m/>
    <n v="0"/>
  </r>
  <r>
    <x v="157"/>
    <s v="Dexia CL"/>
    <d v="2018-01-01T00:00:00"/>
    <d v="2033-01-01T00:00:00"/>
    <n v="15"/>
    <s v="Fixe"/>
    <s v="Non_st"/>
    <x v="17"/>
    <n v="0"/>
    <m/>
    <m/>
    <m/>
    <m/>
    <m/>
    <m/>
    <m/>
    <m/>
    <m/>
    <m/>
    <m/>
    <m/>
    <s v=""/>
    <m/>
    <n v="0"/>
  </r>
  <r>
    <x v="158"/>
    <s v="Caisse d'Épargne"/>
    <d v="2018-02-25T00:00:00"/>
    <d v="2026-02-25T00:00:00"/>
    <n v="8"/>
    <s v="Fixe"/>
    <s v="Restr_sec"/>
    <x v="17"/>
    <n v="0"/>
    <m/>
    <m/>
    <m/>
    <m/>
    <m/>
    <m/>
    <m/>
    <m/>
    <m/>
    <m/>
    <m/>
    <m/>
    <s v=""/>
    <m/>
    <n v="0"/>
  </r>
  <r>
    <x v="16"/>
    <s v="Dexia CL"/>
    <d v="2001-11-26T00:00:00"/>
    <d v="2006-03-01T00:00:00"/>
    <n v="20"/>
    <s v="Annulable"/>
    <s v="Struct"/>
    <x v="18"/>
    <n v="1"/>
    <m/>
    <m/>
    <m/>
    <m/>
    <m/>
    <m/>
    <m/>
    <m/>
    <m/>
    <m/>
    <m/>
    <m/>
    <s v=""/>
    <m/>
    <n v="0"/>
  </r>
  <r>
    <x v="17"/>
    <s v="CDC"/>
    <d v="2002-01-25T00:00:00"/>
    <d v="2009-01-25T00:00:00"/>
    <n v="7"/>
    <s v="Fixe"/>
    <s v="Non_st"/>
    <x v="18"/>
    <n v="1"/>
    <m/>
    <m/>
    <m/>
    <m/>
    <m/>
    <m/>
    <m/>
    <m/>
    <m/>
    <m/>
    <m/>
    <m/>
    <s v=""/>
    <m/>
    <n v="0"/>
  </r>
  <r>
    <x v="18"/>
    <s v="CDC"/>
    <d v="2002-02-01T00:00:00"/>
    <d v="2022-02-01T00:00:00"/>
    <n v="20"/>
    <s v="Livret A"/>
    <s v="Livr_A"/>
    <x v="18"/>
    <n v="1"/>
    <m/>
    <m/>
    <d v="2003-02-01T00:00:00"/>
    <d v="2003-02-01T00:00:00"/>
    <n v="2137796"/>
    <n v="498971"/>
    <n v="7.4999999999999997E-3"/>
    <n v="4660.5"/>
    <n v="122429.83"/>
    <m/>
    <n v="3420.03"/>
    <n v="127090.33"/>
    <n v="0"/>
    <m/>
    <n v="0"/>
  </r>
  <r>
    <x v="19"/>
    <s v="CDC"/>
    <d v="2002-04-01T00:00:00"/>
    <d v="2022-04-01T00:00:00"/>
    <n v="20"/>
    <s v="Livret A"/>
    <s v="Livr_A"/>
    <x v="18"/>
    <n v="1"/>
    <m/>
    <m/>
    <m/>
    <m/>
    <m/>
    <m/>
    <m/>
    <m/>
    <m/>
    <m/>
    <m/>
    <m/>
    <s v=""/>
    <m/>
    <n v="0"/>
  </r>
  <r>
    <x v="20"/>
    <s v="Crédit Agricole"/>
    <d v="2002-04-15T00:00:00"/>
    <d v="2017-04-18T00:00:00"/>
    <n v="15"/>
    <s v="Barrière hors zone EUR"/>
    <s v="Struct"/>
    <x v="18"/>
    <n v="1"/>
    <m/>
    <m/>
    <m/>
    <m/>
    <m/>
    <m/>
    <m/>
    <m/>
    <m/>
    <m/>
    <m/>
    <m/>
    <s v=""/>
    <m/>
    <n v="0"/>
  </r>
  <r>
    <x v="21"/>
    <s v="Dexia CL"/>
    <d v="2002-05-01T00:00:00"/>
    <d v="2004-04-10T00:00:00"/>
    <n v="17"/>
    <s v="Barrière"/>
    <s v="Struct"/>
    <x v="18"/>
    <n v="1"/>
    <m/>
    <m/>
    <m/>
    <m/>
    <m/>
    <m/>
    <m/>
    <m/>
    <m/>
    <m/>
    <m/>
    <m/>
    <s v=""/>
    <m/>
    <n v="0"/>
  </r>
  <r>
    <x v="22"/>
    <s v="Dexia CL"/>
    <d v="2002-05-01T00:00:00"/>
    <d v="2005-07-01T00:00:00"/>
    <n v="19.25"/>
    <s v="Barrière hors zone EUR"/>
    <s v="Struct"/>
    <x v="18"/>
    <n v="1"/>
    <m/>
    <m/>
    <m/>
    <m/>
    <m/>
    <m/>
    <m/>
    <m/>
    <m/>
    <m/>
    <m/>
    <m/>
    <s v=""/>
    <m/>
    <n v="0"/>
  </r>
  <r>
    <x v="23"/>
    <s v="Dexia CL"/>
    <d v="2002-05-01T00:00:00"/>
    <d v="2004-04-10T00:00:00"/>
    <n v="19.25"/>
    <s v="Barrière hors zone EUR"/>
    <s v="Struct"/>
    <x v="18"/>
    <n v="1"/>
    <m/>
    <m/>
    <m/>
    <m/>
    <m/>
    <m/>
    <m/>
    <m/>
    <m/>
    <m/>
    <m/>
    <m/>
    <s v=""/>
    <m/>
    <n v="0"/>
  </r>
  <r>
    <x v="25"/>
    <s v="Dexia CL"/>
    <d v="2002-05-01T00:00:00"/>
    <d v="2004-07-25T00:00:00"/>
    <n v="8"/>
    <s v="Variable hors zone EUR"/>
    <s v="Struct"/>
    <x v="18"/>
    <n v="1"/>
    <m/>
    <m/>
    <m/>
    <m/>
    <m/>
    <m/>
    <m/>
    <m/>
    <m/>
    <m/>
    <m/>
    <m/>
    <s v=""/>
    <m/>
    <n v="0"/>
  </r>
  <r>
    <x v="26"/>
    <s v="CDC"/>
    <d v="2002-10-01T00:00:00"/>
    <d v="2002-10-01T00:00:00"/>
    <n v="20"/>
    <s v="Livret A"/>
    <s v="Livr_A"/>
    <x v="18"/>
    <n v="1"/>
    <m/>
    <m/>
    <m/>
    <m/>
    <m/>
    <m/>
    <m/>
    <m/>
    <m/>
    <m/>
    <m/>
    <m/>
    <s v=""/>
    <m/>
    <n v="0"/>
  </r>
  <r>
    <x v="27"/>
    <s v="Dexia CL"/>
    <d v="2002-10-04T00:00:00"/>
    <d v="2004-07-25T00:00:00"/>
    <n v="20"/>
    <s v="Fixe"/>
    <s v="Non_st"/>
    <x v="18"/>
    <n v="1"/>
    <m/>
    <m/>
    <m/>
    <m/>
    <m/>
    <m/>
    <m/>
    <m/>
    <m/>
    <m/>
    <m/>
    <m/>
    <s v=""/>
    <m/>
    <n v="0"/>
  </r>
  <r>
    <x v="28"/>
    <s v="CDC"/>
    <d v="2002-12-31T00:00:00"/>
    <d v="2023-01-01T00:00:00"/>
    <n v="20"/>
    <s v="Livret A"/>
    <s v="Livr_A"/>
    <x v="18"/>
    <n v="1"/>
    <m/>
    <m/>
    <m/>
    <m/>
    <m/>
    <m/>
    <m/>
    <m/>
    <m/>
    <m/>
    <m/>
    <m/>
    <s v=""/>
    <m/>
    <n v="0"/>
  </r>
  <r>
    <x v="34"/>
    <s v="Dexia CL"/>
    <d v="2003-05-31T00:00:00"/>
    <d v="2005-04-01T00:00:00"/>
    <n v="20"/>
    <s v="Barrière"/>
    <s v="Struct"/>
    <x v="18"/>
    <n v="1"/>
    <m/>
    <m/>
    <m/>
    <m/>
    <m/>
    <m/>
    <m/>
    <m/>
    <m/>
    <m/>
    <m/>
    <m/>
    <s v=""/>
    <m/>
    <n v="0"/>
  </r>
  <r>
    <x v="60"/>
    <s v="Crédit Agricole"/>
    <d v="2006-03-06T00:00:00"/>
    <d v="2021-03-02T00:00:00"/>
    <n v="15"/>
    <s v="Barrière"/>
    <s v="Struct"/>
    <x v="18"/>
    <n v="1"/>
    <m/>
    <m/>
    <m/>
    <m/>
    <m/>
    <m/>
    <m/>
    <m/>
    <m/>
    <m/>
    <m/>
    <m/>
    <s v=""/>
    <m/>
    <n v="0"/>
  </r>
  <r>
    <x v="61"/>
    <s v="Crédit Agricole"/>
    <d v="2006-03-06T00:00:00"/>
    <d v="2021-03-06T00:00:00"/>
    <n v="15"/>
    <s v="Fixe"/>
    <s v="Non_st"/>
    <x v="18"/>
    <n v="1"/>
    <m/>
    <m/>
    <m/>
    <m/>
    <m/>
    <n v="1223858"/>
    <n v="3.2199999999999999E-2"/>
    <n v="109756.12"/>
    <n v="379786.56"/>
    <m/>
    <n v="58051.94"/>
    <n v="489542.68"/>
    <n v="0"/>
    <m/>
    <n v="0"/>
  </r>
  <r>
    <x v="73"/>
    <s v="Crédit Agricole"/>
    <d v="2007-04-10T00:00:00"/>
    <d v="2028-03-01T00:00:00"/>
    <n v="20"/>
    <s v="Pente"/>
    <s v="Struct"/>
    <x v="18"/>
    <n v="1"/>
    <m/>
    <m/>
    <m/>
    <m/>
    <m/>
    <n v="2841775.51"/>
    <n v="6.0000000000000001E-3"/>
    <n v="27010.720000000001"/>
    <n v="245163.34"/>
    <m/>
    <n v="0"/>
    <n v="272174.06"/>
    <n v="0"/>
    <m/>
    <n v="0"/>
  </r>
  <r>
    <x v="89"/>
    <s v="Dexia CL"/>
    <d v="2012-11-01T00:00:00"/>
    <d v="2017-11-01T00:00:00"/>
    <n v="25"/>
    <s v="Change"/>
    <s v="Struct"/>
    <x v="18"/>
    <n v="1"/>
    <m/>
    <m/>
    <m/>
    <m/>
    <m/>
    <m/>
    <m/>
    <m/>
    <m/>
    <m/>
    <m/>
    <m/>
    <s v=""/>
    <m/>
    <n v="0"/>
  </r>
  <r>
    <x v="93"/>
    <s v="Dexia CL"/>
    <d v="2009-03-27T00:00:00"/>
    <d v="2029-04-01T00:00:00"/>
    <n v="20"/>
    <s v="Fixe"/>
    <s v="Non_st"/>
    <x v="18"/>
    <n v="1"/>
    <m/>
    <m/>
    <m/>
    <m/>
    <m/>
    <n v="3800972"/>
    <n v="4.53E-2"/>
    <n v="180570.94"/>
    <n v="277674.92"/>
    <m/>
    <n v="43043.9"/>
    <n v="458245.86"/>
    <n v="0"/>
    <m/>
    <n v="0"/>
  </r>
  <r>
    <x v="98"/>
    <s v="Dexia CL"/>
    <d v="2009-11-01T00:00:00"/>
    <d v="2017-11-01T00:00:00"/>
    <n v="23"/>
    <s v="Pente"/>
    <s v="Struct"/>
    <x v="18"/>
    <n v="1"/>
    <m/>
    <m/>
    <m/>
    <m/>
    <m/>
    <m/>
    <m/>
    <m/>
    <m/>
    <m/>
    <m/>
    <m/>
    <s v=""/>
    <m/>
    <n v="0"/>
  </r>
  <r>
    <x v="99"/>
    <s v="Caisse d'Épargne"/>
    <d v="2009-11-25T00:00:00"/>
    <d v="2026-11-25T00:00:00"/>
    <n v="17"/>
    <s v="Fixe"/>
    <s v="Restr_sec"/>
    <x v="18"/>
    <n v="1"/>
    <m/>
    <m/>
    <m/>
    <m/>
    <m/>
    <n v="2417159"/>
    <n v="4.7500000000000001E-2"/>
    <n v="127479.19"/>
    <n v="258009.27"/>
    <m/>
    <n v="11360.65"/>
    <n v="385488.45999999996"/>
    <n v="0"/>
    <m/>
    <n v="0"/>
  </r>
  <r>
    <x v="97"/>
    <s v="Arkea"/>
    <d v="2009-12-21T00:00:00"/>
    <d v="2030-10-30T00:00:00"/>
    <n v="20"/>
    <s v="Variable"/>
    <s v="Non_st"/>
    <x v="18"/>
    <n v="1"/>
    <m/>
    <m/>
    <m/>
    <m/>
    <m/>
    <m/>
    <m/>
    <m/>
    <m/>
    <m/>
    <m/>
    <m/>
    <s v=""/>
    <m/>
    <n v="0"/>
  </r>
  <r>
    <x v="105"/>
    <s v="Dexia CL"/>
    <d v="2010-07-25T00:00:00"/>
    <d v="2025-09-01T00:00:00"/>
    <n v="15"/>
    <s v="Fixe"/>
    <s v="Non_st"/>
    <x v="18"/>
    <n v="1"/>
    <m/>
    <m/>
    <m/>
    <m/>
    <m/>
    <n v="367309"/>
    <n v="2.1299999999999999E-2"/>
    <n v="8531.67"/>
    <n v="50054.41"/>
    <m/>
    <n v="633.20000000000005"/>
    <n v="58586.080000000002"/>
    <n v="0"/>
    <m/>
    <n v="0"/>
  </r>
  <r>
    <x v="106"/>
    <s v="Société générale"/>
    <d v="2010-09-01T00:00:00"/>
    <d v="2030-12-01T00:00:00"/>
    <n v="20"/>
    <s v="Fixe"/>
    <s v="Restr_sec"/>
    <x v="18"/>
    <n v="1"/>
    <m/>
    <m/>
    <m/>
    <m/>
    <m/>
    <n v="1273310"/>
    <n v="4.3799999999999999E-2"/>
    <n v="58410.91"/>
    <n v="76186.87"/>
    <m/>
    <n v="4594.53"/>
    <n v="134597.78"/>
    <n v="0"/>
    <m/>
    <n v="0"/>
  </r>
  <r>
    <x v="109"/>
    <s v="Société générale"/>
    <d v="2010-12-01T00:00:00"/>
    <d v="2030-12-01T00:00:00"/>
    <n v="20"/>
    <s v="Fixe"/>
    <s v="Restr_sec"/>
    <x v="18"/>
    <n v="1"/>
    <m/>
    <m/>
    <m/>
    <m/>
    <m/>
    <n v="1829367"/>
    <n v="4.3799999999999999E-2"/>
    <n v="85117.09"/>
    <n v="109457.84"/>
    <m/>
    <n v="6600.97"/>
    <n v="194574.93"/>
    <n v="0"/>
    <m/>
    <n v="0"/>
  </r>
  <r>
    <x v="83"/>
    <s v="Société générale"/>
    <d v="2010-12-18T00:00:00"/>
    <d v="2026-03-31T00:00:00"/>
    <n v="15"/>
    <s v="Variable"/>
    <s v="Non_st"/>
    <x v="18"/>
    <n v="1"/>
    <m/>
    <m/>
    <m/>
    <m/>
    <m/>
    <n v="4614552"/>
    <n v="5.8999999999999999E-3"/>
    <n v="28784.7"/>
    <n v="514438.23"/>
    <m/>
    <n v="0"/>
    <n v="543222.92999999993"/>
    <n v="0"/>
    <m/>
    <n v="0"/>
  </r>
  <r>
    <x v="111"/>
    <s v="Dexia CL"/>
    <d v="2011-07-01T00:00:00"/>
    <d v="2036-05-01T00:00:00"/>
    <n v="25"/>
    <s v="Barrière avec multiplicateur"/>
    <s v="Struct"/>
    <x v="18"/>
    <n v="1"/>
    <m/>
    <m/>
    <m/>
    <m/>
    <m/>
    <n v="12066450"/>
    <n v="4.0300000000000002E-2"/>
    <n v="504663.39"/>
    <n v="408492.12"/>
    <m/>
    <n v="326317.03999999998"/>
    <n v="913155.51"/>
    <n v="0"/>
    <m/>
    <n v="0"/>
  </r>
  <r>
    <x v="112"/>
    <s v="Caisse d'Épargne"/>
    <d v="2011-07-08T00:00:00"/>
    <d v="2027-05-29T00:00:00"/>
    <n v="15"/>
    <s v="Variable"/>
    <s v="Non_st"/>
    <x v="18"/>
    <n v="1"/>
    <m/>
    <m/>
    <m/>
    <m/>
    <m/>
    <n v="3278307"/>
    <n v="9.1999999999999998E-3"/>
    <n v="31994.400000000001"/>
    <n v="302375.34000000003"/>
    <m/>
    <n v="2672.94"/>
    <n v="334369.74000000005"/>
    <n v="0"/>
    <m/>
    <n v="0"/>
  </r>
  <r>
    <x v="113"/>
    <s v="Caisse d'Épargne"/>
    <d v="2011-07-08T00:00:00"/>
    <d v="2027-05-29T00:00:00"/>
    <n v="15"/>
    <s v="Variable"/>
    <s v="Non_st"/>
    <x v="18"/>
    <n v="1"/>
    <m/>
    <m/>
    <m/>
    <m/>
    <m/>
    <n v="3278307"/>
    <n v="6.1999999999999998E-3"/>
    <n v="21590.55"/>
    <n v="302375.34000000003"/>
    <m/>
    <n v="1810.7"/>
    <n v="323965.89"/>
    <n v="0"/>
    <m/>
    <n v="0"/>
  </r>
  <r>
    <x v="114"/>
    <s v="Dexia CL"/>
    <d v="2011-11-01T00:00:00"/>
    <d v="2018-01-01T00:00:00"/>
    <n v="21.17"/>
    <s v="Barrière avec multiplicateur"/>
    <s v="Struct"/>
    <x v="18"/>
    <n v="1"/>
    <m/>
    <m/>
    <m/>
    <m/>
    <m/>
    <n v="0"/>
    <m/>
    <n v="256777.94"/>
    <n v="568569.47"/>
    <m/>
    <n v="0"/>
    <n v="825347.40999999992"/>
    <n v="0"/>
    <m/>
    <n v="6667000"/>
  </r>
  <r>
    <x v="117"/>
    <s v="Dexia CL"/>
    <d v="2011-12-01T00:00:00"/>
    <d v="2035-12-01T00:00:00"/>
    <n v="24"/>
    <s v="Variable"/>
    <s v="Non_st"/>
    <x v="18"/>
    <n v="1"/>
    <m/>
    <m/>
    <m/>
    <m/>
    <m/>
    <n v="3549607"/>
    <n v="8.0000000000000004E-4"/>
    <n v="2814.87"/>
    <n v="188487.96"/>
    <m/>
    <n v="248.47"/>
    <n v="191302.83"/>
    <n v="0"/>
    <m/>
    <n v="0"/>
  </r>
  <r>
    <x v="118"/>
    <s v="Caisse d'Épargne"/>
    <d v="2012-01-05T00:00:00"/>
    <d v="2032-01-05T00:00:00"/>
    <n v="20"/>
    <s v="Barrière"/>
    <s v="Struct"/>
    <x v="18"/>
    <n v="1"/>
    <m/>
    <m/>
    <m/>
    <m/>
    <m/>
    <n v="4994467"/>
    <n v="4.9000000000000002E-2"/>
    <n v="259019.7"/>
    <n v="272986.13"/>
    <m/>
    <n v="242231.66"/>
    <n v="532005.83000000007"/>
    <n v="0"/>
    <m/>
    <n v="0"/>
  </r>
  <r>
    <x v="119"/>
    <s v="CDC"/>
    <d v="2012-03-23T00:00:00"/>
    <d v="2027-10-01T00:00:00"/>
    <n v="15.25"/>
    <s v="Variable"/>
    <s v="Non_st"/>
    <x v="18"/>
    <n v="1"/>
    <m/>
    <m/>
    <m/>
    <m/>
    <m/>
    <m/>
    <m/>
    <m/>
    <m/>
    <m/>
    <m/>
    <m/>
    <s v=""/>
    <m/>
    <n v="0"/>
  </r>
  <r>
    <x v="122"/>
    <s v="Dexia CL"/>
    <d v="2012-05-01T00:00:00"/>
    <d v="2031-10-01T00:00:00"/>
    <n v="19.420000000000002"/>
    <s v="Barrière avec multiplicateur"/>
    <s v="Struct"/>
    <x v="18"/>
    <n v="1"/>
    <m/>
    <m/>
    <m/>
    <m/>
    <m/>
    <n v="11927924"/>
    <n v="1.6E-2"/>
    <n v="200460.45"/>
    <n v="641333.37"/>
    <m/>
    <n v="49175.31"/>
    <n v="841793.82000000007"/>
    <n v="0"/>
    <m/>
    <n v="0"/>
  </r>
  <r>
    <x v="125"/>
    <s v="Dexia CL"/>
    <d v="2012-05-01T00:00:00"/>
    <d v="2013-06-01T00:00:00"/>
    <n v="15"/>
    <s v="Variable"/>
    <s v="Non_st"/>
    <x v="18"/>
    <n v="1"/>
    <m/>
    <m/>
    <m/>
    <m/>
    <m/>
    <m/>
    <m/>
    <m/>
    <m/>
    <m/>
    <m/>
    <m/>
    <s v=""/>
    <m/>
    <n v="0"/>
  </r>
  <r>
    <x v="126"/>
    <s v="Caisse d'Épargne"/>
    <d v="2012-09-15T00:00:00"/>
    <d v="2033-07-25T00:00:00"/>
    <n v="20.8"/>
    <s v="Fixe"/>
    <s v="Non_st"/>
    <x v="18"/>
    <n v="1"/>
    <m/>
    <m/>
    <m/>
    <m/>
    <m/>
    <n v="16496440"/>
    <n v="4.5100000000000001E-2"/>
    <n v="766651.98"/>
    <n v="739642.52"/>
    <m/>
    <n v="136870.74"/>
    <n v="1506294.5"/>
    <n v="0"/>
    <m/>
    <n v="0"/>
  </r>
  <r>
    <x v="128"/>
    <s v="Dexia CL"/>
    <d v="2012-12-01T00:00:00"/>
    <d v="2033-12-01T00:00:00"/>
    <n v="21"/>
    <s v="Fixe"/>
    <s v="Restr_sec"/>
    <x v="18"/>
    <n v="1"/>
    <m/>
    <m/>
    <m/>
    <m/>
    <m/>
    <n v="4265553"/>
    <n v="5.21E-2"/>
    <n v="258266.21"/>
    <n v="680628.04"/>
    <m/>
    <n v="18306.330000000002"/>
    <n v="938894.25"/>
    <n v="0"/>
    <m/>
    <n v="0"/>
  </r>
  <r>
    <x v="130"/>
    <s v="Caisse d'Épargne"/>
    <d v="2013-02-25T00:00:00"/>
    <d v="2033-02-25T00:00:00"/>
    <n v="20"/>
    <s v="Fixe"/>
    <s v="Restr_sec"/>
    <x v="18"/>
    <n v="1"/>
    <m/>
    <m/>
    <m/>
    <m/>
    <m/>
    <n v="3264323"/>
    <n v="4.4900000000000002E-2"/>
    <n v="131234.70000000001"/>
    <n v="153616.99"/>
    <m/>
    <n v="14488.23"/>
    <n v="284851.69"/>
    <n v="0"/>
    <m/>
    <n v="0"/>
  </r>
  <r>
    <x v="131"/>
    <s v="Dexia CL"/>
    <d v="2013-06-01T00:00:00"/>
    <d v="2033-06-01T00:00:00"/>
    <n v="20"/>
    <s v="Fixe"/>
    <s v="Restr_sec"/>
    <x v="18"/>
    <n v="1"/>
    <m/>
    <m/>
    <m/>
    <m/>
    <m/>
    <n v="13563497"/>
    <n v="5.04E-2"/>
    <n v="719814.8"/>
    <n v="692614.38"/>
    <m/>
    <n v="399648.43"/>
    <n v="1412429.1800000002"/>
    <n v="0"/>
    <m/>
    <n v="0"/>
  </r>
  <r>
    <x v="132"/>
    <s v="Caisse d'Épargne"/>
    <d v="2013-12-31T00:00:00"/>
    <d v="2033-12-31T00:00:00"/>
    <n v="20"/>
    <s v="Fixe"/>
    <s v="Non_st"/>
    <x v="18"/>
    <n v="1"/>
    <m/>
    <m/>
    <m/>
    <m/>
    <m/>
    <n v="7500000"/>
    <n v="4.3999999999999997E-2"/>
    <n v="352833.33"/>
    <n v="500000"/>
    <m/>
    <n v="0"/>
    <n v="852833.33000000007"/>
    <n v="0"/>
    <m/>
    <n v="0"/>
  </r>
  <r>
    <x v="133"/>
    <s v="Société générale"/>
    <d v="2014-01-01T00:00:00"/>
    <d v="2035-01-01T00:00:00"/>
    <n v="21"/>
    <s v="Fixe"/>
    <s v="Restr_sec"/>
    <x v="18"/>
    <n v="1"/>
    <m/>
    <m/>
    <m/>
    <m/>
    <m/>
    <n v="3580339"/>
    <n v="4.8500000000000001E-2"/>
    <n v="174788.58"/>
    <n v="131958.14000000001"/>
    <m/>
    <n v="14321.35"/>
    <n v="306746.71999999997"/>
    <n v="0"/>
    <m/>
    <n v="0"/>
  </r>
  <r>
    <x v="134"/>
    <s v="Dexia CL"/>
    <d v="2014-01-15T00:00:00"/>
    <d v="2033-11-01T00:00:00"/>
    <n v="19.829999999999998"/>
    <s v="Fixe"/>
    <s v="Restr_sec"/>
    <x v="18"/>
    <n v="1"/>
    <m/>
    <m/>
    <m/>
    <m/>
    <m/>
    <n v="18933184"/>
    <n v="4.6899999999999997E-2"/>
    <n v="949024.52"/>
    <n v="1239750.55"/>
    <m/>
    <n v="146416.63"/>
    <n v="2188775.0700000003"/>
    <n v="0"/>
    <m/>
    <n v="0"/>
  </r>
  <r>
    <x v="135"/>
    <s v="Caisse d'Épargne"/>
    <d v="2014-02-25T00:00:00"/>
    <d v="2018-02-25T00:00:00"/>
    <n v="5"/>
    <s v="Courbes"/>
    <s v="Struct"/>
    <x v="18"/>
    <n v="1"/>
    <m/>
    <m/>
    <m/>
    <m/>
    <m/>
    <n v="0"/>
    <n v="0.11119999999999999"/>
    <n v="595064.28"/>
    <n v="659923.31000000006"/>
    <m/>
    <n v="0"/>
    <n v="1254987.5900000001"/>
    <n v="0"/>
    <m/>
    <n v="4676000"/>
  </r>
  <r>
    <x v="136"/>
    <s v="Caisse d'Épargne"/>
    <d v="2014-02-25T00:00:00"/>
    <d v="2026-02-25T00:00:00"/>
    <n v="12"/>
    <s v="Fixe"/>
    <s v="Restr_sec"/>
    <x v="18"/>
    <n v="1"/>
    <m/>
    <m/>
    <m/>
    <m/>
    <m/>
    <n v="1642795"/>
    <n v="4.7800000000000002E-2"/>
    <n v="89902.94"/>
    <n v="231864.94"/>
    <m/>
    <n v="66696.09"/>
    <n v="321767.88"/>
    <n v="0"/>
    <m/>
    <n v="0"/>
  </r>
  <r>
    <x v="137"/>
    <s v="Société générale"/>
    <d v="2014-04-01T00:00:00"/>
    <d v="2035-04-01T00:00:00"/>
    <n v="21"/>
    <s v="Fixe"/>
    <s v="Restr_sec"/>
    <x v="18"/>
    <n v="1"/>
    <m/>
    <m/>
    <m/>
    <m/>
    <m/>
    <n v="2984904"/>
    <n v="4.8500000000000001E-2"/>
    <n v="147040.17000000001"/>
    <n v="110012.58"/>
    <m/>
    <n v="11939.61"/>
    <n v="257052.75"/>
    <n v="0"/>
    <m/>
    <n v="0"/>
  </r>
  <r>
    <x v="138"/>
    <s v="Dexia CL"/>
    <d v="2014-05-01T00:00:00"/>
    <d v="2029-05-01T00:00:00"/>
    <n v="15"/>
    <s v="Fixe"/>
    <s v="Non_st"/>
    <x v="18"/>
    <n v="1"/>
    <m/>
    <m/>
    <m/>
    <m/>
    <m/>
    <n v="4801554"/>
    <n v="0.04"/>
    <n v="205705.94"/>
    <n v="321881.95"/>
    <m/>
    <n v="128873.7"/>
    <n v="527587.89"/>
    <n v="0"/>
    <m/>
    <n v="0"/>
  </r>
  <r>
    <x v="139"/>
    <s v="Dexia CL"/>
    <d v="2014-05-01T00:00:00"/>
    <d v="2036-05-01T00:00:00"/>
    <n v="22"/>
    <s v="Fixe"/>
    <s v="Restr_aidé"/>
    <x v="18"/>
    <n v="1"/>
    <m/>
    <m/>
    <m/>
    <m/>
    <m/>
    <n v="31786309"/>
    <n v="4.7199999999999999E-2"/>
    <n v="1581009.22"/>
    <n v="1604516.45"/>
    <m/>
    <n v="1006107.32"/>
    <n v="3185525.67"/>
    <n v="0"/>
    <m/>
    <n v="0"/>
  </r>
  <r>
    <x v="140"/>
    <s v="Société générale"/>
    <d v="2014-06-30T00:00:00"/>
    <d v="2035-05-31T00:00:00"/>
    <n v="20"/>
    <s v="Variable"/>
    <s v="Non_st"/>
    <x v="18"/>
    <n v="1"/>
    <m/>
    <m/>
    <m/>
    <m/>
    <m/>
    <n v="4125000"/>
    <n v="1.52E-2"/>
    <n v="65245.49"/>
    <n v="250000"/>
    <m/>
    <n v="10395"/>
    <n v="315245.49"/>
    <n v="0"/>
    <m/>
    <n v="0"/>
  </r>
  <r>
    <x v="141"/>
    <s v="Caisse d'Épargne"/>
    <d v="2014-09-30T00:00:00"/>
    <d v="2034-09-30T00:00:00"/>
    <n v="20"/>
    <s v="Fixe"/>
    <s v="Non_st"/>
    <x v="18"/>
    <n v="1"/>
    <m/>
    <m/>
    <m/>
    <m/>
    <m/>
    <n v="8000000"/>
    <n v="4.3999999999999997E-2"/>
    <n v="374885.42"/>
    <n v="500000"/>
    <m/>
    <n v="88933.33"/>
    <n v="874885.41999999993"/>
    <n v="0"/>
    <m/>
    <n v="0"/>
  </r>
  <r>
    <x v="142"/>
    <s v="Caisse d'Épargne"/>
    <d v="2014-12-31T00:00:00"/>
    <d v="2034-12-31T00:00:00"/>
    <n v="20"/>
    <s v="Fixe"/>
    <s v="Non_st"/>
    <x v="18"/>
    <n v="1"/>
    <m/>
    <m/>
    <m/>
    <m/>
    <m/>
    <n v="8000000"/>
    <n v="4.2299999999999997E-2"/>
    <n v="260234.72"/>
    <n v="500000"/>
    <m/>
    <n v="0"/>
    <n v="760234.72"/>
    <n v="0"/>
    <m/>
    <n v="0"/>
  </r>
  <r>
    <x v="143"/>
    <s v="Crédit Foncier"/>
    <d v="2015-02-13T00:00:00"/>
    <d v="2030-02-13T00:00:00"/>
    <n v="15"/>
    <s v="Fixe"/>
    <s v="Non_st"/>
    <x v="18"/>
    <n v="1"/>
    <m/>
    <m/>
    <m/>
    <m/>
    <m/>
    <n v="4000000"/>
    <n v="3.7100000000000001E-2"/>
    <n v="161200"/>
    <n v="333333.33"/>
    <m/>
    <n v="131026.67"/>
    <n v="494533.33"/>
    <n v="0"/>
    <m/>
    <n v="0"/>
  </r>
  <r>
    <x v="144"/>
    <s v="Dexia CL"/>
    <d v="2015-05-01T00:00:00"/>
    <d v="2035-05-01T00:00:00"/>
    <n v="20"/>
    <s v="Fixe"/>
    <s v="Restr_aidé"/>
    <x v="18"/>
    <n v="1"/>
    <m/>
    <m/>
    <m/>
    <m/>
    <m/>
    <n v="16067797"/>
    <n v="3.5000000000000003E-2"/>
    <n v="584441.96"/>
    <n v="592199.97"/>
    <m/>
    <n v="376807.7"/>
    <n v="1176641.93"/>
    <n v="0"/>
    <m/>
    <n v="0"/>
  </r>
  <r>
    <x v="145"/>
    <s v="Dexia CL"/>
    <d v="2015-12-01T00:00:00"/>
    <d v="2040-12-01T00:00:00"/>
    <n v="25"/>
    <s v="Fixe"/>
    <s v="Restr_sec"/>
    <x v="18"/>
    <n v="1"/>
    <m/>
    <m/>
    <m/>
    <m/>
    <m/>
    <n v="8405526"/>
    <n v="3.27E-2"/>
    <n v="282077.78000000003"/>
    <n v="207900.77"/>
    <m/>
    <n v="22624.87"/>
    <n v="489978.55000000005"/>
    <n v="0"/>
    <m/>
    <n v="0"/>
  </r>
  <r>
    <x v="146"/>
    <s v="CDC"/>
    <d v="2016-01-01T00:00:00"/>
    <d v="2031-01-01T00:00:00"/>
    <n v="15"/>
    <s v="Livret A"/>
    <s v="Livr_A"/>
    <x v="18"/>
    <n v="1"/>
    <m/>
    <m/>
    <m/>
    <m/>
    <m/>
    <n v="3913194"/>
    <n v="1.49E-2"/>
    <n v="61348.7"/>
    <n v="319444.44"/>
    <m/>
    <n v="14430.51"/>
    <n v="380793.14"/>
    <n v="0"/>
    <m/>
    <n v="0"/>
  </r>
  <r>
    <x v="147"/>
    <s v="Arkea"/>
    <d v="2016-02-08T00:00:00"/>
    <d v="2036-01-30T00:00:00"/>
    <n v="20"/>
    <s v="Fixe"/>
    <s v="Non_st"/>
    <x v="18"/>
    <n v="1"/>
    <m/>
    <m/>
    <m/>
    <m/>
    <m/>
    <n v="8889737"/>
    <n v="2.3699999999999999E-2"/>
    <n v="217724.49"/>
    <n v="412139.11"/>
    <m/>
    <n v="35262.620000000003"/>
    <n v="629863.6"/>
    <n v="0"/>
    <m/>
    <n v="0"/>
  </r>
  <r>
    <x v="148"/>
    <s v="Dexia CL"/>
    <d v="2016-10-01T00:00:00"/>
    <d v="2036-07-01T00:00:00"/>
    <n v="19.75"/>
    <s v="Fixe"/>
    <s v="Restr_aidé"/>
    <x v="18"/>
    <n v="1"/>
    <m/>
    <m/>
    <m/>
    <m/>
    <m/>
    <n v="9813159"/>
    <n v="4.1000000000000002E-2"/>
    <n v="416594.22"/>
    <n v="332210.21000000002"/>
    <m/>
    <n v="202028.41"/>
    <n v="748804.42999999993"/>
    <n v="0"/>
    <m/>
    <n v="0"/>
  </r>
  <r>
    <x v="149"/>
    <s v="Dexia CL"/>
    <d v="2016-10-01T00:00:00"/>
    <d v="2036-07-01T00:00:00"/>
    <n v="19.75"/>
    <s v="Fixe"/>
    <s v="Non_st"/>
    <x v="18"/>
    <n v="1"/>
    <m/>
    <m/>
    <m/>
    <m/>
    <m/>
    <n v="2814008"/>
    <n v="2.7799999999999998E-2"/>
    <n v="81116.17"/>
    <n v="95264.15"/>
    <m/>
    <n v="39337.49"/>
    <n v="176380.32"/>
    <n v="0"/>
    <m/>
    <n v="0"/>
  </r>
  <r>
    <x v="150"/>
    <s v="Dexia CL"/>
    <d v="2016-11-01T00:00:00"/>
    <d v="2035-12-01T00:00:00"/>
    <n v="19.079999999999998"/>
    <s v="Fixe"/>
    <s v="Restr_aidé"/>
    <x v="18"/>
    <n v="1"/>
    <m/>
    <m/>
    <m/>
    <m/>
    <m/>
    <n v="8376794"/>
    <n v="3.0099999999999998E-2"/>
    <n v="262423.71000000002"/>
    <n v="308737.86"/>
    <m/>
    <n v="20802.37"/>
    <n v="571161.57000000007"/>
    <n v="0"/>
    <m/>
    <n v="0"/>
  </r>
  <r>
    <x v="151"/>
    <s v="Dexia CL"/>
    <d v="2016-11-01T00:00:00"/>
    <d v="2035-11-01T00:00:00"/>
    <n v="19"/>
    <s v="Fixe"/>
    <s v="Non_st"/>
    <x v="18"/>
    <n v="1"/>
    <m/>
    <m/>
    <m/>
    <m/>
    <m/>
    <n v="15858836"/>
    <n v="2.7799999999999998E-2"/>
    <n v="458472.15"/>
    <n v="584498.43999999994"/>
    <m/>
    <n v="72686.33"/>
    <n v="1042970.59"/>
    <n v="0"/>
    <m/>
    <n v="0"/>
  </r>
  <r>
    <x v="152"/>
    <s v="Dexia CL"/>
    <d v="2017-11-01T00:00:00"/>
    <d v="2037-11-01T00:00:00"/>
    <n v="20"/>
    <s v="Fixe"/>
    <s v="Restr_aidé"/>
    <x v="18"/>
    <n v="1"/>
    <m/>
    <m/>
    <m/>
    <m/>
    <m/>
    <n v="10310969"/>
    <n v="3.5900000000000001E-2"/>
    <n v="382697.04"/>
    <n v="321555.05"/>
    <m/>
    <n v="61006.57"/>
    <n v="704252.09"/>
    <n v="0"/>
    <m/>
    <n v="0"/>
  </r>
  <r>
    <x v="153"/>
    <s v="Dexia CL"/>
    <d v="2017-11-01T00:00:00"/>
    <d v="2037-11-01T00:00:00"/>
    <n v="20"/>
    <s v="Fixe"/>
    <s v="Non_st"/>
    <x v="18"/>
    <n v="1"/>
    <m/>
    <m/>
    <m/>
    <m/>
    <m/>
    <n v="16485876"/>
    <n v="2.7799999999999998E-2"/>
    <n v="473993.06"/>
    <n v="514123.98"/>
    <m/>
    <n v="75560.27"/>
    <n v="988117.04"/>
    <n v="0"/>
    <m/>
    <n v="0"/>
  </r>
  <r>
    <x v="154"/>
    <s v="Dexia CL"/>
    <d v="2017-11-01T00:00:00"/>
    <d v="2034-11-01T00:00:00"/>
    <n v="17"/>
    <s v="Fixe"/>
    <s v="Restr_aidé"/>
    <x v="18"/>
    <n v="1"/>
    <m/>
    <m/>
    <m/>
    <m/>
    <m/>
    <n v="8889878"/>
    <n v="3.7199999999999997E-2"/>
    <n v="345044.13"/>
    <n v="357880.3"/>
    <m/>
    <n v="54524.58"/>
    <n v="702924.42999999993"/>
    <n v="0"/>
    <m/>
    <n v="0"/>
  </r>
  <r>
    <x v="155"/>
    <s v="Dexia CL"/>
    <d v="2017-11-01T00:00:00"/>
    <d v="2034-11-01T00:00:00"/>
    <n v="17"/>
    <s v="Fixe"/>
    <s v="Non_st"/>
    <x v="18"/>
    <n v="1"/>
    <m/>
    <m/>
    <m/>
    <m/>
    <m/>
    <n v="2883903"/>
    <n v="2.7799999999999998E-2"/>
    <n v="83645.83"/>
    <n v="116097.43"/>
    <m/>
    <n v="13217.89"/>
    <n v="199743.26"/>
    <n v="0"/>
    <m/>
    <n v="0"/>
  </r>
  <r>
    <x v="156"/>
    <s v="Dexia CL"/>
    <d v="2018-01-01T00:00:00"/>
    <d v="2033-01-01T00:00:00"/>
    <n v="15"/>
    <s v="Fixe"/>
    <s v="Restr_aidé"/>
    <x v="18"/>
    <n v="1"/>
    <m/>
    <m/>
    <m/>
    <m/>
    <m/>
    <n v="6667443"/>
    <n v="2.7300000000000001E-2"/>
    <n v="0"/>
    <n v="0"/>
    <m/>
    <n v="182021.19"/>
    <n v="0"/>
    <n v="0"/>
    <m/>
    <n v="0"/>
  </r>
  <r>
    <x v="157"/>
    <s v="Dexia CL"/>
    <d v="2018-01-01T00:00:00"/>
    <d v="2033-01-01T00:00:00"/>
    <n v="15"/>
    <s v="Fixe"/>
    <s v="Non_st"/>
    <x v="18"/>
    <n v="1"/>
    <m/>
    <m/>
    <m/>
    <m/>
    <m/>
    <n v="3000000"/>
    <n v="2.7300000000000001E-2"/>
    <n v="0"/>
    <n v="0"/>
    <m/>
    <n v="81900"/>
    <n v="0"/>
    <n v="0"/>
    <m/>
    <n v="0"/>
  </r>
  <r>
    <x v="158"/>
    <s v="Caisse d'Épargne"/>
    <d v="2018-02-25T00:00:00"/>
    <d v="2026-02-25T00:00:00"/>
    <n v="8"/>
    <s v="Fixe"/>
    <s v="Restr_sec"/>
    <x v="18"/>
    <n v="1"/>
    <m/>
    <m/>
    <m/>
    <m/>
    <m/>
    <n v="4675647"/>
    <n v="7.6E-3"/>
    <n v="0"/>
    <n v="0"/>
    <m/>
    <n v="30105.97"/>
    <n v="0"/>
    <n v="0"/>
    <m/>
    <n v="0"/>
  </r>
</pivotCacheRecords>
</file>

<file path=xl/pivotCache/pivotCacheRecords2.xml><?xml version="1.0" encoding="utf-8"?>
<pivotCacheRecords xmlns="http://schemas.openxmlformats.org/spreadsheetml/2006/main" xmlns:r="http://schemas.openxmlformats.org/officeDocument/2006/relationships" count="114">
  <r>
    <x v="0"/>
    <x v="0"/>
    <n v="185884644.16328561"/>
    <m/>
    <n v="9625412.0578113832"/>
    <n v="13276215.700983597"/>
    <n v="-9.1483356896787882E-2"/>
    <n v="2835892.2097347439"/>
    <n v="192522752.01377738"/>
    <n v="4.9996231391511409E-2"/>
  </r>
  <r>
    <x v="0"/>
    <x v="1"/>
    <n v="0"/>
    <m/>
    <n v="0"/>
    <n v="0"/>
    <n v="0"/>
    <n v="0"/>
    <n v="0"/>
    <e v="#N/A"/>
  </r>
  <r>
    <x v="0"/>
    <x v="2"/>
    <n v="0"/>
    <m/>
    <n v="0"/>
    <n v="0"/>
    <n v="0"/>
    <n v="0"/>
    <n v="0"/>
    <e v="#N/A"/>
  </r>
  <r>
    <x v="0"/>
    <x v="3"/>
    <n v="0"/>
    <m/>
    <n v="0"/>
    <n v="0"/>
    <n v="0"/>
    <n v="0"/>
    <n v="0"/>
    <e v="#N/A"/>
  </r>
  <r>
    <x v="0"/>
    <x v="4"/>
    <n v="0"/>
    <m/>
    <n v="0"/>
    <n v="0"/>
    <n v="0"/>
    <n v="0"/>
    <n v="0"/>
    <e v="#N/A"/>
  </r>
  <r>
    <x v="0"/>
    <x v="5"/>
    <n v="0"/>
    <m/>
    <n v="0"/>
    <n v="0"/>
    <n v="0"/>
    <n v="0"/>
    <n v="0"/>
    <e v="#N/A"/>
  </r>
  <r>
    <x v="1"/>
    <x v="0"/>
    <n v="173813330.9669638"/>
    <m/>
    <n v="10069592.368458368"/>
    <n v="16781963.275531098"/>
    <n v="57808.160925324075"/>
    <n v="3291463.0704559069"/>
    <n v="182204312.60472941"/>
    <n v="5.5265389850036928E-2"/>
  </r>
  <r>
    <x v="1"/>
    <x v="1"/>
    <n v="0"/>
    <m/>
    <n v="0"/>
    <n v="0"/>
    <n v="0"/>
    <n v="0"/>
    <n v="0"/>
    <e v="#N/A"/>
  </r>
  <r>
    <x v="1"/>
    <x v="2"/>
    <n v="1989353.1532026036"/>
    <m/>
    <n v="80371.933211050578"/>
    <n v="71292.68880258959"/>
    <n v="0"/>
    <n v="31361.200688564732"/>
    <n v="1922537.6779823853"/>
    <n v="4.1805127738977384E-2"/>
  </r>
  <r>
    <x v="1"/>
    <x v="3"/>
    <n v="0"/>
    <m/>
    <n v="0"/>
    <n v="0"/>
    <n v="0"/>
    <n v="0"/>
    <n v="0"/>
    <e v="#N/A"/>
  </r>
  <r>
    <x v="1"/>
    <x v="4"/>
    <n v="0"/>
    <m/>
    <n v="0"/>
    <n v="0"/>
    <n v="0"/>
    <n v="0"/>
    <n v="0"/>
    <e v="#N/A"/>
  </r>
  <r>
    <x v="1"/>
    <x v="5"/>
    <n v="3049445.2296765912"/>
    <m/>
    <n v="0"/>
    <n v="0"/>
    <n v="0"/>
    <n v="12486.773793677587"/>
    <n v="292412.55627035804"/>
    <n v="0"/>
  </r>
  <r>
    <x v="2"/>
    <x v="0"/>
    <n v="88193228.090000004"/>
    <m/>
    <n v="8655500.879999999"/>
    <n v="22027617.800000001"/>
    <n v="0"/>
    <n v="1356191.9300000002"/>
    <n v="99207036.99000001"/>
    <n v="8.7246844000314877E-2"/>
  </r>
  <r>
    <x v="2"/>
    <x v="1"/>
    <n v="12643205"/>
    <m/>
    <n v="0"/>
    <n v="0"/>
    <n v="0"/>
    <n v="228715.81"/>
    <n v="5495414.0657534245"/>
    <n v="0"/>
  </r>
  <r>
    <x v="2"/>
    <x v="2"/>
    <n v="8342205.3200000003"/>
    <m/>
    <n v="105637.61"/>
    <n v="0"/>
    <n v="0"/>
    <n v="188673.51"/>
    <n v="5889851.3775342461"/>
    <n v="1.7935530666008861E-2"/>
  </r>
  <r>
    <x v="2"/>
    <x v="3"/>
    <n v="0"/>
    <m/>
    <n v="0"/>
    <n v="0"/>
    <n v="0"/>
    <n v="0"/>
    <n v="0"/>
    <e v="#N/A"/>
  </r>
  <r>
    <x v="2"/>
    <x v="4"/>
    <n v="0"/>
    <m/>
    <n v="0"/>
    <n v="0"/>
    <n v="0"/>
    <n v="0"/>
    <n v="0"/>
    <e v="#N/A"/>
  </r>
  <r>
    <x v="2"/>
    <x v="5"/>
    <n v="73641529.179999992"/>
    <m/>
    <n v="1050311.8400000001"/>
    <n v="152449"/>
    <n v="0"/>
    <n v="642933.38"/>
    <n v="54730431.563178085"/>
    <n v="1.9190636908966677E-2"/>
  </r>
  <r>
    <x v="3"/>
    <x v="0"/>
    <n v="52736617.290000007"/>
    <m/>
    <n v="4593568.16"/>
    <n v="14388661.75"/>
    <n v="0"/>
    <n v="727897.81000000029"/>
    <n v="59930948.165000007"/>
    <n v="7.6647680382982294E-2"/>
  </r>
  <r>
    <x v="3"/>
    <x v="1"/>
    <n v="12350529.560000001"/>
    <m/>
    <n v="322734.27999999997"/>
    <n v="292675.44"/>
    <n v="0"/>
    <n v="373703.31999999995"/>
    <n v="10902810.633534247"/>
    <n v="2.9601016733002052E-2"/>
  </r>
  <r>
    <x v="3"/>
    <x v="2"/>
    <n v="8358035.0899999999"/>
    <m/>
    <n v="496561.91000000003"/>
    <n v="6822419.71"/>
    <n v="0"/>
    <n v="184939.19"/>
    <n v="9311341.2857945189"/>
    <n v="5.3328719757867765E-2"/>
  </r>
  <r>
    <x v="3"/>
    <x v="3"/>
    <n v="0"/>
    <m/>
    <n v="0"/>
    <n v="0"/>
    <n v="0"/>
    <n v="0"/>
    <n v="0"/>
    <e v="#N/A"/>
  </r>
  <r>
    <x v="3"/>
    <x v="4"/>
    <n v="0"/>
    <m/>
    <n v="0"/>
    <n v="0"/>
    <n v="0"/>
    <n v="0"/>
    <n v="0"/>
    <e v="#N/A"/>
  </r>
  <r>
    <x v="3"/>
    <x v="5"/>
    <n v="104877730.63999999"/>
    <m/>
    <n v="3331298.4299999997"/>
    <n v="2478162.4900000002"/>
    <n v="0"/>
    <n v="1961422.9699999997"/>
    <n v="99128809.951972619"/>
    <n v="3.3605754286912114E-2"/>
  </r>
  <r>
    <x v="4"/>
    <x v="0"/>
    <n v="35355844.149999991"/>
    <m/>
    <n v="2690375.4299999997"/>
    <n v="13348111.9"/>
    <n v="0"/>
    <n v="451161.67999999993"/>
    <n v="42029900.379999995"/>
    <n v="6.4010987551143941E-2"/>
  </r>
  <r>
    <x v="4"/>
    <x v="1"/>
    <n v="11904813"/>
    <m/>
    <n v="456620.69999999995"/>
    <n v="445717.04000000004"/>
    <n v="0"/>
    <n v="303256.06000000006"/>
    <n v="10624518.91"/>
    <n v="4.2978011886281253E-2"/>
  </r>
  <r>
    <x v="4"/>
    <x v="2"/>
    <n v="8192294"/>
    <m/>
    <n v="415964.95000000007"/>
    <n v="1817699.77"/>
    <n v="0"/>
    <n v="196134.91999999998"/>
    <n v="10110954.785958905"/>
    <n v="4.1140026714158694E-2"/>
  </r>
  <r>
    <x v="4"/>
    <x v="3"/>
    <n v="0"/>
    <m/>
    <n v="0"/>
    <n v="0"/>
    <n v="0"/>
    <n v="0"/>
    <n v="0"/>
    <e v="#N/A"/>
  </r>
  <r>
    <x v="4"/>
    <x v="4"/>
    <n v="0"/>
    <m/>
    <n v="0"/>
    <n v="0"/>
    <n v="0"/>
    <n v="0"/>
    <n v="0"/>
    <e v="#N/A"/>
  </r>
  <r>
    <x v="4"/>
    <x v="5"/>
    <n v="126487034.98"/>
    <m/>
    <n v="3919130.8299999996"/>
    <n v="3857111.18"/>
    <n v="0"/>
    <n v="2750213.3499999996"/>
    <n v="120040774.2447945"/>
    <n v="3.2648330158283285E-2"/>
  </r>
  <r>
    <x v="5"/>
    <x v="0"/>
    <n v="11477592.369999997"/>
    <m/>
    <n v="1905329.6500000006"/>
    <n v="18334456.350000001"/>
    <n v="0"/>
    <n v="217360.19"/>
    <n v="20644820.544999994"/>
    <n v="9.2290928169945066E-2"/>
  </r>
  <r>
    <x v="5"/>
    <x v="1"/>
    <n v="5766474"/>
    <m/>
    <n v="373025.14"/>
    <n v="6138339.3200000012"/>
    <n v="0"/>
    <n v="172223.95"/>
    <n v="8077903.3578082193"/>
    <n v="4.6178460359943337E-2"/>
  </r>
  <r>
    <x v="5"/>
    <x v="2"/>
    <n v="13088573"/>
    <m/>
    <n v="352984.72000000003"/>
    <n v="3348424.7"/>
    <n v="0"/>
    <n v="215688.05"/>
    <n v="12366907.494246576"/>
    <n v="2.8542682975854571E-2"/>
  </r>
  <r>
    <x v="5"/>
    <x v="3"/>
    <n v="0"/>
    <m/>
    <n v="0"/>
    <n v="0"/>
    <n v="0"/>
    <n v="0"/>
    <n v="0"/>
    <e v="#N/A"/>
  </r>
  <r>
    <x v="5"/>
    <x v="4"/>
    <n v="0"/>
    <m/>
    <n v="0"/>
    <n v="0"/>
    <n v="0"/>
    <n v="0"/>
    <n v="0"/>
    <e v="#N/A"/>
  </r>
  <r>
    <x v="5"/>
    <x v="5"/>
    <n v="146857237"/>
    <m/>
    <n v="4776810.78"/>
    <n v="4704480.2800000012"/>
    <n v="0"/>
    <n v="2623064.0499999998"/>
    <n v="142175294.30126026"/>
    <n v="3.3598036870444221E-2"/>
  </r>
  <r>
    <x v="6"/>
    <x v="0"/>
    <n v="5424669.0799999852"/>
    <m/>
    <n v="757340.54999999993"/>
    <n v="7641749.919999999"/>
    <n v="0"/>
    <n v="210750.53073946881"/>
    <n v="9245544.4699999839"/>
    <n v="8.1914110354173786E-2"/>
  </r>
  <r>
    <x v="6"/>
    <x v="1"/>
    <n v="5498755"/>
    <m/>
    <n v="176311.09999999998"/>
    <n v="267718.16000000003"/>
    <n v="0"/>
    <n v="155056.73000000001"/>
    <n v="5617182.2606027396"/>
    <n v="3.1387818984723717E-2"/>
  </r>
  <r>
    <x v="6"/>
    <x v="2"/>
    <n v="29384945"/>
    <m/>
    <n v="391549.46"/>
    <n v="4203629.63"/>
    <n v="0"/>
    <n v="353381.79000000004"/>
    <n v="20667665.839465756"/>
    <n v="1.8945025676403198E-2"/>
  </r>
  <r>
    <x v="6"/>
    <x v="3"/>
    <n v="0"/>
    <m/>
    <n v="0"/>
    <n v="0"/>
    <n v="0"/>
    <n v="0"/>
    <n v="0"/>
    <e v="#N/A"/>
  </r>
  <r>
    <x v="6"/>
    <x v="4"/>
    <n v="0"/>
    <m/>
    <n v="0"/>
    <n v="0"/>
    <n v="0"/>
    <n v="0"/>
    <n v="0"/>
    <e v="#N/A"/>
  </r>
  <r>
    <x v="6"/>
    <x v="5"/>
    <n v="159914571"/>
    <m/>
    <n v="4580736.41"/>
    <n v="7075118.5599999996"/>
    <n v="0"/>
    <n v="3196095.6100000003"/>
    <n v="147543967.45758906"/>
    <n v="3.1046585563159097E-2"/>
  </r>
  <r>
    <x v="7"/>
    <x v="0"/>
    <n v="-3309407.3700000076"/>
    <m/>
    <n v="184602.9999999982"/>
    <n v="-2261695.4499999997"/>
    <n v="0"/>
    <n v="21092.893730756674"/>
    <n v="1276694.0249999987"/>
    <n v="0.14459455154103848"/>
  </r>
  <r>
    <x v="7"/>
    <x v="1"/>
    <n v="1699337"/>
    <m/>
    <n v="160245.45000000001"/>
    <n v="3799418.1599999997"/>
    <n v="0"/>
    <n v="42634.73"/>
    <n v="3589185.6797808222"/>
    <n v="4.4646742826017737E-2"/>
  </r>
  <r>
    <x v="7"/>
    <x v="2"/>
    <n v="19633185"/>
    <m/>
    <n v="852376.3"/>
    <n v="1751759.48"/>
    <n v="0"/>
    <n v="338241.46"/>
    <n v="27910070.473753426"/>
    <n v="3.0540098449467298E-2"/>
  </r>
  <r>
    <x v="7"/>
    <x v="3"/>
    <n v="0"/>
    <m/>
    <n v="0"/>
    <n v="0"/>
    <n v="0"/>
    <n v="0"/>
    <n v="0"/>
    <e v="#N/A"/>
  </r>
  <r>
    <x v="7"/>
    <x v="4"/>
    <n v="0"/>
    <m/>
    <n v="0"/>
    <n v="0"/>
    <n v="0"/>
    <n v="0"/>
    <n v="0"/>
    <e v="#N/A"/>
  </r>
  <r>
    <x v="7"/>
    <x v="5"/>
    <n v="190884927.43000001"/>
    <m/>
    <n v="5990927.9500000002"/>
    <n v="8995196.7699999977"/>
    <n v="0"/>
    <n v="2677876.81"/>
    <n v="181007978.73798633"/>
    <n v="3.3097590458551117E-2"/>
  </r>
  <r>
    <x v="7"/>
    <x v="0"/>
    <n v="-3309407.3700000076"/>
    <m/>
    <n v="184602.9999999982"/>
    <n v="-2261695.4499999997"/>
    <n v="0"/>
    <n v="21092.893730756674"/>
    <n v="1276694.0249999987"/>
    <n v="0.14459455154103848"/>
  </r>
  <r>
    <x v="8"/>
    <x v="1"/>
    <n v="1606283"/>
    <m/>
    <n v="46731.76"/>
    <n v="93054.28"/>
    <n v="0"/>
    <n v="51194.34"/>
    <n v="1652810.14"/>
    <n v="2.827412469771029E-2"/>
  </r>
  <r>
    <x v="8"/>
    <x v="2"/>
    <n v="10387584"/>
    <m/>
    <n v="537475.30000000005"/>
    <n v="1870600.07"/>
    <n v="0"/>
    <n v="281053.71999999997"/>
    <n v="13114664.856917808"/>
    <n v="4.0982770498819807E-2"/>
  </r>
  <r>
    <x v="8"/>
    <x v="3"/>
    <n v="0"/>
    <m/>
    <n v="0"/>
    <n v="0"/>
    <n v="0"/>
    <n v="0"/>
    <n v="0"/>
    <e v="#N/A"/>
  </r>
  <r>
    <x v="8"/>
    <x v="4"/>
    <n v="0"/>
    <m/>
    <n v="0"/>
    <n v="0"/>
    <n v="0"/>
    <n v="0"/>
    <n v="0"/>
    <e v="#N/A"/>
  </r>
  <r>
    <x v="8"/>
    <x v="5"/>
    <n v="203263953.67000002"/>
    <m/>
    <n v="5952077.2700000014"/>
    <n v="10115315.229999999"/>
    <n v="0"/>
    <n v="1558039.8100000003"/>
    <n v="212527017.55072603"/>
    <n v="2.8006214638472294E-2"/>
  </r>
  <r>
    <x v="8"/>
    <x v="0"/>
    <n v="381618.47999999451"/>
    <m/>
    <n v="54850.430000000022"/>
    <n v="648972.32999999996"/>
    <n v="0"/>
    <n v="278.12120327194708"/>
    <n v="706106.24499999406"/>
    <n v="7.7680137215045422E-2"/>
  </r>
  <r>
    <x v="9"/>
    <x v="1"/>
    <n v="1519614"/>
    <m/>
    <n v="56219.89"/>
    <n v="86668.71"/>
    <n v="0"/>
    <n v="34307.21"/>
    <n v="1558666.3047123288"/>
    <n v="3.6069227794320015E-2"/>
  </r>
  <r>
    <x v="9"/>
    <x v="2"/>
    <n v="17493066"/>
    <m/>
    <n v="554397.88"/>
    <n v="1894519.21"/>
    <n v="6957.8799999999956"/>
    <n v="263258.34999999998"/>
    <n v="14381572.709986303"/>
    <n v="3.8549183123417104E-2"/>
  </r>
  <r>
    <x v="9"/>
    <x v="3"/>
    <n v="0"/>
    <m/>
    <n v="0"/>
    <n v="0"/>
    <n v="0"/>
    <n v="0"/>
    <n v="0"/>
    <e v="#N/A"/>
  </r>
  <r>
    <x v="9"/>
    <x v="4"/>
    <n v="4448712"/>
    <m/>
    <n v="0"/>
    <n v="0"/>
    <n v="0"/>
    <n v="0"/>
    <n v="438777.07397260272"/>
    <n v="0"/>
  </r>
  <r>
    <x v="9"/>
    <x v="5"/>
    <n v="185895883.19999999"/>
    <m/>
    <n v="5545266.4700000016"/>
    <n v="9631940.7599999998"/>
    <n v="-1590.429999999993"/>
    <n v="2288828.48"/>
    <n v="193309990.91413701"/>
    <n v="2.8685876212487419E-2"/>
  </r>
  <r>
    <x v="10"/>
    <x v="0"/>
    <n v="2.0400000077206641"/>
    <m/>
    <n v="-50466.57173044153"/>
    <n v="-15715.530000000261"/>
    <n v="0"/>
    <n v="0"/>
    <n v="1.0800000003073364"/>
    <n v="-46728.307144518723"/>
  </r>
  <r>
    <x v="10"/>
    <x v="1"/>
    <n v="1419246"/>
    <m/>
    <n v="37990.35"/>
    <n v="100367.87"/>
    <n v="0"/>
    <n v="34659.69"/>
    <n v="1465404.099561644"/>
    <n v="2.5924828524339669E-2"/>
  </r>
  <r>
    <x v="10"/>
    <x v="2"/>
    <n v="28180763"/>
    <m/>
    <n v="584941.78173044149"/>
    <n v="2071159.87"/>
    <n v="0"/>
    <n v="255278.54043261037"/>
    <n v="28569500.720712326"/>
    <n v="2.0474343862312238E-2"/>
  </r>
  <r>
    <x v="10"/>
    <x v="3"/>
    <n v="0"/>
    <m/>
    <n v="0"/>
    <n v="0"/>
    <n v="0"/>
    <n v="0"/>
    <n v="0"/>
    <e v="#N/A"/>
  </r>
  <r>
    <x v="10"/>
    <x v="4"/>
    <n v="8615308"/>
    <m/>
    <n v="231589.29"/>
    <n v="202793"/>
    <n v="0"/>
    <n v="0"/>
    <n v="5147167.687671233"/>
    <n v="4.4993538981586874E-2"/>
  </r>
  <r>
    <x v="10"/>
    <x v="5"/>
    <n v="172784989"/>
    <m/>
    <n v="5351863.5600000005"/>
    <n v="8748359.2599999998"/>
    <n v="0"/>
    <n v="2325628.5099999998"/>
    <n v="179630685.81767124"/>
    <n v="2.9793704431058343E-2"/>
  </r>
  <r>
    <x v="11"/>
    <x v="0"/>
    <n v="0"/>
    <m/>
    <n v="0"/>
    <n v="0"/>
    <n v="0"/>
    <n v="0"/>
    <n v="0"/>
    <e v="#N/A"/>
  </r>
  <r>
    <x v="11"/>
    <x v="1"/>
    <n v="1308888"/>
    <m/>
    <n v="17740.57"/>
    <n v="110358.16"/>
    <n v="0"/>
    <n v="23882.720000000001"/>
    <n v="1360329.9099178084"/>
    <n v="1.3041373177681502E-2"/>
  </r>
  <r>
    <x v="11"/>
    <x v="2"/>
    <n v="38731217"/>
    <m/>
    <n v="828762.23"/>
    <n v="2049953.9"/>
    <n v="0"/>
    <n v="230733.33999999997"/>
    <n v="36961754.939041086"/>
    <n v="2.2422155857232166E-2"/>
  </r>
  <r>
    <x v="11"/>
    <x v="3"/>
    <n v="0"/>
    <m/>
    <n v="0"/>
    <n v="0"/>
    <n v="0"/>
    <n v="0"/>
    <n v="0"/>
    <e v="#N/A"/>
  </r>
  <r>
    <x v="11"/>
    <x v="4"/>
    <n v="8280581"/>
    <m/>
    <n v="391585.2"/>
    <n v="334727.18"/>
    <n v="0"/>
    <n v="34299.71"/>
    <n v="8424799.5363287665"/>
    <n v="4.6480061431899561E-2"/>
  </r>
  <r>
    <x v="11"/>
    <x v="5"/>
    <n v="163328968.48000002"/>
    <m/>
    <n v="5949494.6999999993"/>
    <n v="8436217.2700000014"/>
    <n v="0"/>
    <n v="2519528.6499999994"/>
    <n v="167608950.57801372"/>
    <n v="3.549628274315101E-2"/>
  </r>
  <r>
    <x v="12"/>
    <x v="0"/>
    <n v="0"/>
    <m/>
    <n v="0"/>
    <n v="0"/>
    <n v="0"/>
    <n v="0"/>
    <n v="0"/>
    <e v="#N/A"/>
  </r>
  <r>
    <x v="12"/>
    <x v="1"/>
    <n v="1201326"/>
    <m/>
    <n v="27029.84"/>
    <n v="107859.06"/>
    <n v="0"/>
    <n v="14964.03"/>
    <n v="1255255.53"/>
    <n v="2.1533336722284746E-2"/>
  </r>
  <r>
    <x v="12"/>
    <x v="2"/>
    <n v="71100091.519999996"/>
    <m/>
    <n v="1129857.54"/>
    <n v="3245824.48"/>
    <n v="0"/>
    <n v="473004.00999999995"/>
    <n v="55853434.656671233"/>
    <n v="2.0228971538548846E-2"/>
  </r>
  <r>
    <x v="12"/>
    <x v="3"/>
    <n v="0"/>
    <m/>
    <n v="0"/>
    <n v="0"/>
    <n v="0"/>
    <n v="0"/>
    <n v="0"/>
    <e v="#N/A"/>
  </r>
  <r>
    <x v="12"/>
    <x v="4"/>
    <n v="16222689"/>
    <m/>
    <n v="794877.52"/>
    <n v="1024477.23"/>
    <n v="0"/>
    <n v="64008.240000000005"/>
    <n v="8822125.3436301369"/>
    <n v="9.0100456413706204E-2"/>
  </r>
  <r>
    <x v="12"/>
    <x v="5"/>
    <n v="169171980.48000002"/>
    <m/>
    <n v="10853915.07"/>
    <n v="9185941.7299999967"/>
    <n v="0"/>
    <n v="6306533.4400000013"/>
    <n v="173007492.13928771"/>
    <n v="6.2736676520699766E-2"/>
  </r>
  <r>
    <x v="13"/>
    <x v="0"/>
    <n v="0"/>
    <m/>
    <n v="0"/>
    <n v="0"/>
    <n v="0"/>
    <n v="0"/>
    <n v="0"/>
    <e v="#N/A"/>
  </r>
  <r>
    <x v="13"/>
    <x v="1"/>
    <n v="1092861"/>
    <m/>
    <n v="27029.84"/>
    <n v="108464.95"/>
    <n v="0"/>
    <n v="17448.349999999999"/>
    <n v="1143950.753150685"/>
    <n v="2.3628499675841848E-2"/>
  </r>
  <r>
    <x v="13"/>
    <x v="2"/>
    <n v="89944268"/>
    <m/>
    <n v="1383943.6800000002"/>
    <n v="3302754.0300000003"/>
    <n v="-13112.33"/>
    <n v="370675.02"/>
    <n v="66837723.40526028"/>
    <n v="2.0706026619259157E-2"/>
  </r>
  <r>
    <x v="13"/>
    <x v="3"/>
    <n v="0"/>
    <m/>
    <n v="0"/>
    <n v="0"/>
    <n v="0"/>
    <n v="0"/>
    <n v="0"/>
    <e v="#N/A"/>
  </r>
  <r>
    <x v="13"/>
    <x v="4"/>
    <n v="35871784"/>
    <m/>
    <n v="930236.93"/>
    <n v="1114880.02"/>
    <n v="0"/>
    <n v="574012.28"/>
    <n v="28811904.810726032"/>
    <n v="3.2286547387651146E-2"/>
  </r>
  <r>
    <x v="13"/>
    <x v="5"/>
    <n v="144800395"/>
    <m/>
    <n v="5886562.0700000003"/>
    <n v="6972371.0599999996"/>
    <n v="0"/>
    <n v="2898953.83"/>
    <n v="150808242.11338356"/>
    <n v="3.903342408549694E-2"/>
  </r>
  <r>
    <x v="14"/>
    <x v="0"/>
    <n v="0"/>
    <m/>
    <n v="0"/>
    <n v="0"/>
    <n v="0"/>
    <n v="0"/>
    <n v="0"/>
    <e v="#N/A"/>
  </r>
  <r>
    <x v="14"/>
    <x v="1"/>
    <n v="979687"/>
    <m/>
    <n v="19125.07"/>
    <n v="113174.66"/>
    <n v="0"/>
    <n v="11172.45"/>
    <n v="1033435.2222465753"/>
    <n v="1.850630749591076E-2"/>
  </r>
  <r>
    <x v="14"/>
    <x v="2"/>
    <n v="96066501"/>
    <m/>
    <n v="2356587.2600000002"/>
    <n v="3877825.3100000005"/>
    <n v="-108406.91"/>
    <n v="624725.61"/>
    <n v="78333287.130246565"/>
    <n v="3.0084110425260824E-2"/>
  </r>
  <r>
    <x v="14"/>
    <x v="3"/>
    <n v="37514615"/>
    <m/>
    <n v="0"/>
    <n v="0"/>
    <n v="0"/>
    <n v="1187420.94"/>
    <n v="25078263.178082194"/>
    <n v="0"/>
  </r>
  <r>
    <x v="14"/>
    <x v="4"/>
    <n v="67684981"/>
    <m/>
    <n v="2681866.83"/>
    <n v="2758368.37"/>
    <n v="0"/>
    <n v="1158912.67"/>
    <n v="66732939.423178092"/>
    <n v="4.0188051855370811E-2"/>
  </r>
  <r>
    <x v="14"/>
    <x v="5"/>
    <n v="102890996"/>
    <m/>
    <n v="5937172.2699999996"/>
    <n v="6153217.3999999994"/>
    <n v="0"/>
    <n v="1956071.5399999998"/>
    <n v="108993588.56997262"/>
    <n v="5.447267447468622E-2"/>
  </r>
  <r>
    <x v="15"/>
    <x v="0"/>
    <n v="0"/>
    <m/>
    <n v="0"/>
    <n v="0"/>
    <n v="0"/>
    <n v="0"/>
    <n v="0"/>
    <e v="#N/A"/>
  </r>
  <r>
    <x v="15"/>
    <x v="1"/>
    <n v="862484"/>
    <m/>
    <n v="12246.08"/>
    <n v="117202.97"/>
    <n v="0"/>
    <n v="7868.69"/>
    <n v="918561.96312328766"/>
    <n v="1.3331795231713022E-2"/>
  </r>
  <r>
    <x v="15"/>
    <x v="2"/>
    <n v="100825449"/>
    <m/>
    <n v="3151956.79"/>
    <n v="5241052.59"/>
    <n v="0"/>
    <n v="778827.74999999988"/>
    <n v="102573520.56816438"/>
    <n v="3.072875701780552E-2"/>
  </r>
  <r>
    <x v="15"/>
    <x v="3"/>
    <n v="54024349"/>
    <m/>
    <n v="1776264.93"/>
    <n v="1251406.26"/>
    <n v="0"/>
    <n v="1564329.6199999999"/>
    <n v="48661047.05567123"/>
    <n v="3.6502809484716667E-2"/>
  </r>
  <r>
    <x v="15"/>
    <x v="4"/>
    <n v="73397539"/>
    <m/>
    <n v="3553237.7500000005"/>
    <n v="3287441.17"/>
    <n v="0"/>
    <n v="850769.65"/>
    <n v="66600050.654630139"/>
    <n v="5.3351877589795406E-2"/>
  </r>
  <r>
    <x v="15"/>
    <x v="5"/>
    <n v="87928865"/>
    <m/>
    <n v="3575681.8099999996"/>
    <n v="5550991.25"/>
    <n v="0"/>
    <n v="1693789.05"/>
    <n v="93803430.772109583"/>
    <n v="3.8118880946763314E-2"/>
  </r>
  <r>
    <x v="16"/>
    <x v="0"/>
    <n v="0"/>
    <m/>
    <n v="0"/>
    <n v="0"/>
    <n v="0"/>
    <n v="0"/>
    <n v="0"/>
    <e v="#N/A"/>
  </r>
  <r>
    <x v="16"/>
    <x v="1"/>
    <n v="5295002"/>
    <m/>
    <n v="61288.020000000004"/>
    <n v="359147.94"/>
    <n v="0"/>
    <n v="21878.6"/>
    <n v="5474575.9699999997"/>
    <n v="1.1195025940977125E-2"/>
  </r>
  <r>
    <x v="16"/>
    <x v="2"/>
    <n v="112926101"/>
    <m/>
    <n v="3160340.8000000003"/>
    <n v="17899347.639999997"/>
    <n v="-84354.21"/>
    <n v="809653.43"/>
    <n v="104372872.14052056"/>
    <n v="3.0279331546468623E-2"/>
  </r>
  <r>
    <x v="16"/>
    <x v="3"/>
    <n v="71556479"/>
    <m/>
    <n v="2369163.84"/>
    <n v="2058252.45"/>
    <n v="0"/>
    <n v="1637705.95"/>
    <n v="57166368.894178078"/>
    <n v="4.1443315113919708E-2"/>
  </r>
  <r>
    <x v="16"/>
    <x v="4"/>
    <n v="69795506"/>
    <m/>
    <n v="3404255.32"/>
    <n v="3602034"/>
    <n v="0"/>
    <n v="808214.18"/>
    <n v="71596523"/>
    <n v="4.7547774352114831E-2"/>
  </r>
  <r>
    <x v="16"/>
    <x v="5"/>
    <n v="67358653"/>
    <m/>
    <n v="3137721.0700000003"/>
    <n v="5179920.4799999995"/>
    <n v="0"/>
    <n v="1313621.53"/>
    <n v="81822284.921164393"/>
    <n v="3.8348001073585124E-2"/>
  </r>
  <r>
    <x v="17"/>
    <x v="0"/>
    <n v="0"/>
    <m/>
    <n v="0"/>
    <n v="0"/>
    <n v="0"/>
    <n v="0"/>
    <n v="0"/>
    <e v="#N/A"/>
  </r>
  <r>
    <x v="17"/>
    <x v="1"/>
    <n v="4854039"/>
    <m/>
    <n v="71685.53"/>
    <n v="440962.88"/>
    <n v="0"/>
    <n v="19867.690000000002"/>
    <n v="5060617.6442739721"/>
    <n v="1.4165371707366849E-2"/>
  </r>
  <r>
    <x v="17"/>
    <x v="2"/>
    <n v="126850439"/>
    <m/>
    <n v="3678064.55"/>
    <n v="6075662.0399999991"/>
    <n v="71124.52"/>
    <n v="871975.7300000001"/>
    <n v="112874877.49939726"/>
    <n v="3.2585324843605171E-2"/>
  </r>
  <r>
    <x v="17"/>
    <x v="3"/>
    <n v="88762006"/>
    <m/>
    <n v="2848889.54"/>
    <n v="2674754.7600000002"/>
    <n v="0"/>
    <n v="1797654.8200000003"/>
    <n v="73294711.841972604"/>
    <n v="3.886896432777253E-2"/>
  </r>
  <r>
    <x v="17"/>
    <x v="4"/>
    <n v="66051957"/>
    <m/>
    <n v="3222868.52"/>
    <n v="3743549.66"/>
    <n v="0"/>
    <n v="763419.33"/>
    <n v="67737639.414027393"/>
    <n v="4.757869550636562E-2"/>
  </r>
  <r>
    <x v="17"/>
    <x v="5"/>
    <n v="45970173"/>
    <m/>
    <n v="2304883.13"/>
    <n v="4708106.3599999994"/>
    <n v="0"/>
    <n v="1416311.76"/>
    <n v="61616894.152876705"/>
    <n v="3.7406674933686053E-2"/>
  </r>
  <r>
    <x v="18"/>
    <x v="0"/>
    <n v="0"/>
    <m/>
    <n v="0"/>
    <n v="0"/>
    <n v="0"/>
    <n v="0"/>
    <n v="0"/>
    <e v="#N/A"/>
  </r>
  <r>
    <x v="18"/>
    <x v="1"/>
    <n v="4412165"/>
    <m/>
    <n v="66009.2"/>
    <n v="441874.27"/>
    <n v="0"/>
    <n v="17850.54"/>
    <n v="4620408.704493151"/>
    <n v="1.428644178940466E-2"/>
  </r>
  <r>
    <x v="18"/>
    <x v="2"/>
    <n v="122968266"/>
    <m/>
    <n v="3885751.83"/>
    <n v="6882173.6700000018"/>
    <n v="0"/>
    <n v="920525.19"/>
    <n v="126063025.8409315"/>
    <n v="3.0823881975537447E-2"/>
  </r>
  <r>
    <x v="18"/>
    <x v="3"/>
    <n v="91912349"/>
    <m/>
    <n v="3572210.2799999993"/>
    <n v="3517099.8399999994"/>
    <n v="0"/>
    <n v="1903298.1400000001"/>
    <n v="93414266.320219174"/>
    <n v="3.8240521718113707E-2"/>
  </r>
  <r>
    <x v="18"/>
    <x v="4"/>
    <n v="66835604"/>
    <m/>
    <n v="3023156.8899999997"/>
    <n v="3892000.37"/>
    <n v="0"/>
    <n v="747103.65999999992"/>
    <n v="67888611.885863006"/>
    <n v="4.4531134250949914E-2"/>
  </r>
  <r>
    <x v="18"/>
    <x v="5"/>
    <n v="31830616.509999998"/>
    <m/>
    <n v="1842996.48"/>
    <n v="2796467.74"/>
    <n v="0"/>
    <n v="617724.01"/>
    <n v="33279571.899684936"/>
    <n v="5.537921237554886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2" cacheId="53" applyNumberFormats="0" applyBorderFormats="0" applyFontFormats="0" applyPatternFormats="0" applyAlignmentFormats="0" applyWidthHeightFormats="1" dataCaption="Valeurs" updatedVersion="4" minRefreshableVersion="3" useAutoFormatting="1" itemPrintTitles="1" createdVersion="4" indent="0" outline="1" outlineData="1" gridDropZones="1" multipleFieldFilters="0">
  <location ref="A3:H24" firstHeaderRow="1" firstDataRow="2" firstDataCol="1"/>
  <pivotFields count="10">
    <pivotField axis="axisRow" showAll="0">
      <items count="20">
        <item x="0"/>
        <item x="1"/>
        <item x="2"/>
        <item x="3"/>
        <item x="4"/>
        <item x="5"/>
        <item x="6"/>
        <item x="7"/>
        <item x="8"/>
        <item x="9"/>
        <item x="10"/>
        <item x="11"/>
        <item x="12"/>
        <item x="13"/>
        <item x="14"/>
        <item x="15"/>
        <item x="16"/>
        <item x="17"/>
        <item x="18"/>
        <item t="default"/>
      </items>
    </pivotField>
    <pivotField axis="axisCol" showAll="0" sortType="ascending">
      <items count="8">
        <item x="1"/>
        <item x="2"/>
        <item m="1" x="6"/>
        <item x="3"/>
        <item x="4"/>
        <item x="5"/>
        <item x="0"/>
        <item t="default"/>
      </items>
    </pivotField>
    <pivotField numFmtId="3" showAll="0"/>
    <pivotField showAll="0"/>
    <pivotField dataField="1" numFmtId="3" showAll="0"/>
    <pivotField numFmtId="3" showAll="0"/>
    <pivotField numFmtId="3" showAll="0"/>
    <pivotField numFmtId="3" showAll="0"/>
    <pivotField numFmtId="3" showAll="0"/>
    <pivotField showAll="0"/>
  </pivotFields>
  <rowFields count="1">
    <field x="0"/>
  </rowFields>
  <rowItems count="20">
    <i>
      <x/>
    </i>
    <i>
      <x v="1"/>
    </i>
    <i>
      <x v="2"/>
    </i>
    <i>
      <x v="3"/>
    </i>
    <i>
      <x v="4"/>
    </i>
    <i>
      <x v="5"/>
    </i>
    <i>
      <x v="6"/>
    </i>
    <i>
      <x v="7"/>
    </i>
    <i>
      <x v="8"/>
    </i>
    <i>
      <x v="9"/>
    </i>
    <i>
      <x v="10"/>
    </i>
    <i>
      <x v="11"/>
    </i>
    <i>
      <x v="12"/>
    </i>
    <i>
      <x v="13"/>
    </i>
    <i>
      <x v="14"/>
    </i>
    <i>
      <x v="15"/>
    </i>
    <i>
      <x v="16"/>
    </i>
    <i>
      <x v="17"/>
    </i>
    <i>
      <x v="18"/>
    </i>
    <i t="grand">
      <x/>
    </i>
  </rowItems>
  <colFields count="1">
    <field x="1"/>
  </colFields>
  <colItems count="7">
    <i>
      <x/>
    </i>
    <i>
      <x v="1"/>
    </i>
    <i>
      <x v="3"/>
    </i>
    <i>
      <x v="4"/>
    </i>
    <i>
      <x v="5"/>
    </i>
    <i>
      <x v="6"/>
    </i>
    <i t="grand">
      <x/>
    </i>
  </colItems>
  <dataFields count="1">
    <dataField name="Somme sur Interet_nets_par_emprunts" fld="4" baseField="0" baseItem="0" numFmtId="3"/>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eau croisé dynamique4" cacheId="53" applyNumberFormats="0" applyBorderFormats="0" applyFontFormats="0" applyPatternFormats="0" applyAlignmentFormats="0" applyWidthHeightFormats="1" dataCaption="Valeurs" updatedVersion="4" minRefreshableVersion="3" useAutoFormatting="1" itemPrintTitles="1" createdVersion="4" indent="0" outline="1" outlineData="1" gridDropZones="1" multipleFieldFilters="0">
  <location ref="R3:Y24" firstHeaderRow="1" firstDataRow="2" firstDataCol="1"/>
  <pivotFields count="10">
    <pivotField axis="axisRow" showAll="0">
      <items count="20">
        <item x="0"/>
        <item x="1"/>
        <item x="2"/>
        <item x="3"/>
        <item x="4"/>
        <item x="5"/>
        <item x="6"/>
        <item x="7"/>
        <item x="8"/>
        <item x="9"/>
        <item x="10"/>
        <item x="11"/>
        <item x="12"/>
        <item x="13"/>
        <item x="14"/>
        <item x="15"/>
        <item x="16"/>
        <item x="17"/>
        <item x="18"/>
        <item t="default"/>
      </items>
    </pivotField>
    <pivotField axis="axisCol" showAll="0" sortType="ascending">
      <items count="8">
        <item x="1"/>
        <item x="2"/>
        <item m="1" x="6"/>
        <item x="3"/>
        <item x="4"/>
        <item x="5"/>
        <item x="0"/>
        <item t="default"/>
      </items>
    </pivotField>
    <pivotField numFmtId="3" showAll="0"/>
    <pivotField showAll="0"/>
    <pivotField numFmtId="3" showAll="0"/>
    <pivotField numFmtId="3" showAll="0"/>
    <pivotField numFmtId="3" showAll="0"/>
    <pivotField numFmtId="3" showAll="0"/>
    <pivotField dataField="1" numFmtId="3" showAll="0"/>
    <pivotField showAll="0"/>
  </pivotFields>
  <rowFields count="1">
    <field x="0"/>
  </rowFields>
  <rowItems count="20">
    <i>
      <x/>
    </i>
    <i>
      <x v="1"/>
    </i>
    <i>
      <x v="2"/>
    </i>
    <i>
      <x v="3"/>
    </i>
    <i>
      <x v="4"/>
    </i>
    <i>
      <x v="5"/>
    </i>
    <i>
      <x v="6"/>
    </i>
    <i>
      <x v="7"/>
    </i>
    <i>
      <x v="8"/>
    </i>
    <i>
      <x v="9"/>
    </i>
    <i>
      <x v="10"/>
    </i>
    <i>
      <x v="11"/>
    </i>
    <i>
      <x v="12"/>
    </i>
    <i>
      <x v="13"/>
    </i>
    <i>
      <x v="14"/>
    </i>
    <i>
      <x v="15"/>
    </i>
    <i>
      <x v="16"/>
    </i>
    <i>
      <x v="17"/>
    </i>
    <i>
      <x v="18"/>
    </i>
    <i t="grand">
      <x/>
    </i>
  </rowItems>
  <colFields count="1">
    <field x="1"/>
  </colFields>
  <colItems count="7">
    <i>
      <x/>
    </i>
    <i>
      <x v="1"/>
    </i>
    <i>
      <x v="3"/>
    </i>
    <i>
      <x v="4"/>
    </i>
    <i>
      <x v="5"/>
    </i>
    <i>
      <x v="6"/>
    </i>
    <i t="grand">
      <x/>
    </i>
  </colItems>
  <dataFields count="1">
    <dataField name="Somme sur Encours_moyen_par_emprunts" fld="8" baseField="0" baseItem="0" numFmtId="3"/>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eau croisé dynamique1" cacheId="52" dataOnRows="1" applyNumberFormats="0" applyBorderFormats="0" applyFontFormats="0" applyPatternFormats="0" applyAlignmentFormats="0" applyWidthHeightFormats="1" dataCaption="Valeurs" updatedVersion="4" minRefreshableVersion="3" useAutoFormatting="1" itemPrintTitles="1" createdVersion="4" indent="0" outline="1" outlineData="1" gridDropZones="1" multipleFieldFilters="0">
  <location ref="A12:T812" firstHeaderRow="1" firstDataRow="2" firstDataCol="1"/>
  <pivotFields count="24">
    <pivotField axis="axisRow" showAll="0">
      <items count="160">
        <item x="13"/>
        <item x="12"/>
        <item x="16"/>
        <item x="20"/>
        <item x="18"/>
        <item x="19"/>
        <item x="22"/>
        <item x="23"/>
        <item x="21"/>
        <item x="25"/>
        <item x="24"/>
        <item x="17"/>
        <item x="26"/>
        <item x="28"/>
        <item x="27"/>
        <item x="34"/>
        <item x="29"/>
        <item x="31"/>
        <item x="32"/>
        <item x="33"/>
        <item x="43"/>
        <item x="35"/>
        <item x="36"/>
        <item x="37"/>
        <item x="30"/>
        <item x="14"/>
        <item x="38"/>
        <item x="40"/>
        <item x="41"/>
        <item x="39"/>
        <item x="42"/>
        <item x="44"/>
        <item x="45"/>
        <item x="46"/>
        <item x="48"/>
        <item x="50"/>
        <item x="47"/>
        <item x="51"/>
        <item x="54"/>
        <item x="49"/>
        <item x="56"/>
        <item x="55"/>
        <item x="52"/>
        <item x="53"/>
        <item x="59"/>
        <item x="57"/>
        <item x="58"/>
        <item x="65"/>
        <item x="68"/>
        <item x="66"/>
        <item x="61"/>
        <item x="64"/>
        <item x="63"/>
        <item x="62"/>
        <item x="69"/>
        <item x="71"/>
        <item x="70"/>
        <item x="79"/>
        <item x="67"/>
        <item x="99"/>
        <item x="72"/>
        <item x="74"/>
        <item x="75"/>
        <item x="73"/>
        <item x="85"/>
        <item x="76"/>
        <item x="77"/>
        <item x="82"/>
        <item x="80"/>
        <item x="78"/>
        <item x="81"/>
        <item x="86"/>
        <item x="92"/>
        <item x="87"/>
        <item x="88"/>
        <item x="91"/>
        <item x="90"/>
        <item x="93"/>
        <item x="101"/>
        <item x="98"/>
        <item x="95"/>
        <item x="117"/>
        <item x="96"/>
        <item x="94"/>
        <item x="97"/>
        <item x="103"/>
        <item x="104"/>
        <item x="105"/>
        <item x="107"/>
        <item x="108"/>
        <item x="110"/>
        <item x="100"/>
        <item x="109"/>
        <item x="106"/>
        <item x="102"/>
        <item x="83"/>
        <item x="84"/>
        <item x="111"/>
        <item x="112"/>
        <item x="113"/>
        <item x="115"/>
        <item x="114"/>
        <item x="116"/>
        <item x="118"/>
        <item x="121"/>
        <item x="119"/>
        <item x="123"/>
        <item x="124"/>
        <item x="122"/>
        <item x="125"/>
        <item x="130"/>
        <item x="126"/>
        <item x="89"/>
        <item x="128"/>
        <item x="127"/>
        <item x="131"/>
        <item x="138"/>
        <item x="132"/>
        <item x="141"/>
        <item x="129"/>
        <item x="134"/>
        <item x="136"/>
        <item x="135"/>
        <item x="142"/>
        <item x="143"/>
        <item x="139"/>
        <item x="140"/>
        <item x="133"/>
        <item x="137"/>
        <item x="144"/>
        <item x="145"/>
        <item x="147"/>
        <item x="148"/>
        <item x="149"/>
        <item x="150"/>
        <item x="151"/>
        <item x="152"/>
        <item x="153"/>
        <item x="154"/>
        <item x="155"/>
        <item x="156"/>
        <item x="157"/>
        <item x="146"/>
        <item x="158"/>
        <item x="15"/>
        <item x="60"/>
        <item x="120"/>
        <item x="0"/>
        <item x="1"/>
        <item x="2"/>
        <item x="3"/>
        <item x="4"/>
        <item x="5"/>
        <item x="6"/>
        <item x="7"/>
        <item x="8"/>
        <item x="9"/>
        <item x="10"/>
        <item x="11"/>
        <item t="default"/>
      </items>
    </pivotField>
    <pivotField showAll="0"/>
    <pivotField numFmtId="14" showAll="0" defaultSubtotal="0"/>
    <pivotField numFmtId="14" showAll="0"/>
    <pivotField numFmtId="2" showAll="0"/>
    <pivotField showAll="0"/>
    <pivotField showAll="0" defaultSubtotal="0"/>
    <pivotField axis="axisCol" showAll="0" sortType="ascending">
      <items count="20">
        <item h="1" x="0"/>
        <item x="1"/>
        <item x="2"/>
        <item x="3"/>
        <item x="4"/>
        <item x="5"/>
        <item x="6"/>
        <item x="7"/>
        <item x="8"/>
        <item x="9"/>
        <item x="10"/>
        <item x="11"/>
        <item x="12"/>
        <item x="13"/>
        <item x="14"/>
        <item x="15"/>
        <item x="16"/>
        <item x="17"/>
        <item x="18"/>
        <item t="default"/>
      </items>
    </pivotField>
    <pivotField showAll="0"/>
    <pivotField showAll="0"/>
    <pivotField showAll="0"/>
    <pivotField showAll="0"/>
    <pivotField showAll="0"/>
    <pivotField showAll="0"/>
    <pivotField dataField="1" showAll="0"/>
    <pivotField showAll="0"/>
    <pivotField dataField="1" showAll="0"/>
    <pivotField dataField="1" showAll="0"/>
    <pivotField showAll="0"/>
    <pivotField showAll="0"/>
    <pivotField showAll="0"/>
    <pivotField showAll="0"/>
    <pivotField showAll="0"/>
    <pivotField dataField="1" numFmtId="3" showAll="0"/>
  </pivotFields>
  <rowFields count="2">
    <field x="0"/>
    <field x="-2"/>
  </rowFields>
  <rowItems count="799">
    <i>
      <x/>
    </i>
    <i r="1">
      <x/>
    </i>
    <i r="1" i="1">
      <x v="1"/>
    </i>
    <i r="1" i="2">
      <x v="2"/>
    </i>
    <i r="1" i="3">
      <x v="3"/>
    </i>
    <i>
      <x v="1"/>
    </i>
    <i r="1">
      <x/>
    </i>
    <i r="1" i="1">
      <x v="1"/>
    </i>
    <i r="1" i="2">
      <x v="2"/>
    </i>
    <i r="1" i="3">
      <x v="3"/>
    </i>
    <i>
      <x v="2"/>
    </i>
    <i r="1">
      <x/>
    </i>
    <i r="1" i="1">
      <x v="1"/>
    </i>
    <i r="1" i="2">
      <x v="2"/>
    </i>
    <i r="1" i="3">
      <x v="3"/>
    </i>
    <i>
      <x v="3"/>
    </i>
    <i r="1">
      <x/>
    </i>
    <i r="1" i="1">
      <x v="1"/>
    </i>
    <i r="1" i="2">
      <x v="2"/>
    </i>
    <i r="1" i="3">
      <x v="3"/>
    </i>
    <i>
      <x v="4"/>
    </i>
    <i r="1">
      <x/>
    </i>
    <i r="1" i="1">
      <x v="1"/>
    </i>
    <i r="1" i="2">
      <x v="2"/>
    </i>
    <i r="1" i="3">
      <x v="3"/>
    </i>
    <i>
      <x v="5"/>
    </i>
    <i r="1">
      <x/>
    </i>
    <i r="1" i="1">
      <x v="1"/>
    </i>
    <i r="1" i="2">
      <x v="2"/>
    </i>
    <i r="1" i="3">
      <x v="3"/>
    </i>
    <i>
      <x v="6"/>
    </i>
    <i r="1">
      <x/>
    </i>
    <i r="1" i="1">
      <x v="1"/>
    </i>
    <i r="1" i="2">
      <x v="2"/>
    </i>
    <i r="1" i="3">
      <x v="3"/>
    </i>
    <i>
      <x v="7"/>
    </i>
    <i r="1">
      <x/>
    </i>
    <i r="1" i="1">
      <x v="1"/>
    </i>
    <i r="1" i="2">
      <x v="2"/>
    </i>
    <i r="1" i="3">
      <x v="3"/>
    </i>
    <i>
      <x v="8"/>
    </i>
    <i r="1">
      <x/>
    </i>
    <i r="1" i="1">
      <x v="1"/>
    </i>
    <i r="1" i="2">
      <x v="2"/>
    </i>
    <i r="1" i="3">
      <x v="3"/>
    </i>
    <i>
      <x v="9"/>
    </i>
    <i r="1">
      <x/>
    </i>
    <i r="1" i="1">
      <x v="1"/>
    </i>
    <i r="1" i="2">
      <x v="2"/>
    </i>
    <i r="1" i="3">
      <x v="3"/>
    </i>
    <i>
      <x v="10"/>
    </i>
    <i r="1">
      <x/>
    </i>
    <i r="1" i="1">
      <x v="1"/>
    </i>
    <i r="1" i="2">
      <x v="2"/>
    </i>
    <i r="1" i="3">
      <x v="3"/>
    </i>
    <i>
      <x v="11"/>
    </i>
    <i r="1">
      <x/>
    </i>
    <i r="1" i="1">
      <x v="1"/>
    </i>
    <i r="1" i="2">
      <x v="2"/>
    </i>
    <i r="1" i="3">
      <x v="3"/>
    </i>
    <i>
      <x v="12"/>
    </i>
    <i r="1">
      <x/>
    </i>
    <i r="1" i="1">
      <x v="1"/>
    </i>
    <i r="1" i="2">
      <x v="2"/>
    </i>
    <i r="1" i="3">
      <x v="3"/>
    </i>
    <i>
      <x v="13"/>
    </i>
    <i r="1">
      <x/>
    </i>
    <i r="1" i="1">
      <x v="1"/>
    </i>
    <i r="1" i="2">
      <x v="2"/>
    </i>
    <i r="1" i="3">
      <x v="3"/>
    </i>
    <i>
      <x v="14"/>
    </i>
    <i r="1">
      <x/>
    </i>
    <i r="1" i="1">
      <x v="1"/>
    </i>
    <i r="1" i="2">
      <x v="2"/>
    </i>
    <i r="1" i="3">
      <x v="3"/>
    </i>
    <i>
      <x v="15"/>
    </i>
    <i r="1">
      <x/>
    </i>
    <i r="1" i="1">
      <x v="1"/>
    </i>
    <i r="1" i="2">
      <x v="2"/>
    </i>
    <i r="1" i="3">
      <x v="3"/>
    </i>
    <i>
      <x v="16"/>
    </i>
    <i r="1">
      <x/>
    </i>
    <i r="1" i="1">
      <x v="1"/>
    </i>
    <i r="1" i="2">
      <x v="2"/>
    </i>
    <i r="1" i="3">
      <x v="3"/>
    </i>
    <i>
      <x v="17"/>
    </i>
    <i r="1">
      <x/>
    </i>
    <i r="1" i="1">
      <x v="1"/>
    </i>
    <i r="1" i="2">
      <x v="2"/>
    </i>
    <i r="1" i="3">
      <x v="3"/>
    </i>
    <i>
      <x v="18"/>
    </i>
    <i r="1">
      <x/>
    </i>
    <i r="1" i="1">
      <x v="1"/>
    </i>
    <i r="1" i="2">
      <x v="2"/>
    </i>
    <i r="1" i="3">
      <x v="3"/>
    </i>
    <i>
      <x v="19"/>
    </i>
    <i r="1">
      <x/>
    </i>
    <i r="1" i="1">
      <x v="1"/>
    </i>
    <i r="1" i="2">
      <x v="2"/>
    </i>
    <i r="1" i="3">
      <x v="3"/>
    </i>
    <i>
      <x v="20"/>
    </i>
    <i r="1">
      <x/>
    </i>
    <i r="1" i="1">
      <x v="1"/>
    </i>
    <i r="1" i="2">
      <x v="2"/>
    </i>
    <i r="1" i="3">
      <x v="3"/>
    </i>
    <i>
      <x v="21"/>
    </i>
    <i r="1">
      <x/>
    </i>
    <i r="1" i="1">
      <x v="1"/>
    </i>
    <i r="1" i="2">
      <x v="2"/>
    </i>
    <i r="1" i="3">
      <x v="3"/>
    </i>
    <i>
      <x v="22"/>
    </i>
    <i r="1">
      <x/>
    </i>
    <i r="1" i="1">
      <x v="1"/>
    </i>
    <i r="1" i="2">
      <x v="2"/>
    </i>
    <i r="1" i="3">
      <x v="3"/>
    </i>
    <i>
      <x v="23"/>
    </i>
    <i r="1">
      <x/>
    </i>
    <i r="1" i="1">
      <x v="1"/>
    </i>
    <i r="1" i="2">
      <x v="2"/>
    </i>
    <i r="1" i="3">
      <x v="3"/>
    </i>
    <i>
      <x v="24"/>
    </i>
    <i r="1">
      <x/>
    </i>
    <i r="1" i="1">
      <x v="1"/>
    </i>
    <i r="1" i="2">
      <x v="2"/>
    </i>
    <i r="1" i="3">
      <x v="3"/>
    </i>
    <i>
      <x v="25"/>
    </i>
    <i r="1">
      <x/>
    </i>
    <i r="1" i="1">
      <x v="1"/>
    </i>
    <i r="1" i="2">
      <x v="2"/>
    </i>
    <i r="1" i="3">
      <x v="3"/>
    </i>
    <i>
      <x v="26"/>
    </i>
    <i r="1">
      <x/>
    </i>
    <i r="1" i="1">
      <x v="1"/>
    </i>
    <i r="1" i="2">
      <x v="2"/>
    </i>
    <i r="1" i="3">
      <x v="3"/>
    </i>
    <i>
      <x v="27"/>
    </i>
    <i r="1">
      <x/>
    </i>
    <i r="1" i="1">
      <x v="1"/>
    </i>
    <i r="1" i="2">
      <x v="2"/>
    </i>
    <i r="1" i="3">
      <x v="3"/>
    </i>
    <i>
      <x v="28"/>
    </i>
    <i r="1">
      <x/>
    </i>
    <i r="1" i="1">
      <x v="1"/>
    </i>
    <i r="1" i="2">
      <x v="2"/>
    </i>
    <i r="1" i="3">
      <x v="3"/>
    </i>
    <i>
      <x v="29"/>
    </i>
    <i r="1">
      <x/>
    </i>
    <i r="1" i="1">
      <x v="1"/>
    </i>
    <i r="1" i="2">
      <x v="2"/>
    </i>
    <i r="1" i="3">
      <x v="3"/>
    </i>
    <i>
      <x v="30"/>
    </i>
    <i r="1">
      <x/>
    </i>
    <i r="1" i="1">
      <x v="1"/>
    </i>
    <i r="1" i="2">
      <x v="2"/>
    </i>
    <i r="1" i="3">
      <x v="3"/>
    </i>
    <i>
      <x v="31"/>
    </i>
    <i r="1">
      <x/>
    </i>
    <i r="1" i="1">
      <x v="1"/>
    </i>
    <i r="1" i="2">
      <x v="2"/>
    </i>
    <i r="1" i="3">
      <x v="3"/>
    </i>
    <i>
      <x v="32"/>
    </i>
    <i r="1">
      <x/>
    </i>
    <i r="1" i="1">
      <x v="1"/>
    </i>
    <i r="1" i="2">
      <x v="2"/>
    </i>
    <i r="1" i="3">
      <x v="3"/>
    </i>
    <i>
      <x v="33"/>
    </i>
    <i r="1">
      <x/>
    </i>
    <i r="1" i="1">
      <x v="1"/>
    </i>
    <i r="1" i="2">
      <x v="2"/>
    </i>
    <i r="1" i="3">
      <x v="3"/>
    </i>
    <i>
      <x v="34"/>
    </i>
    <i r="1">
      <x/>
    </i>
    <i r="1" i="1">
      <x v="1"/>
    </i>
    <i r="1" i="2">
      <x v="2"/>
    </i>
    <i r="1" i="3">
      <x v="3"/>
    </i>
    <i>
      <x v="35"/>
    </i>
    <i r="1">
      <x/>
    </i>
    <i r="1" i="1">
      <x v="1"/>
    </i>
    <i r="1" i="2">
      <x v="2"/>
    </i>
    <i r="1" i="3">
      <x v="3"/>
    </i>
    <i>
      <x v="36"/>
    </i>
    <i r="1">
      <x/>
    </i>
    <i r="1" i="1">
      <x v="1"/>
    </i>
    <i r="1" i="2">
      <x v="2"/>
    </i>
    <i r="1" i="3">
      <x v="3"/>
    </i>
    <i>
      <x v="37"/>
    </i>
    <i r="1">
      <x/>
    </i>
    <i r="1" i="1">
      <x v="1"/>
    </i>
    <i r="1" i="2">
      <x v="2"/>
    </i>
    <i r="1" i="3">
      <x v="3"/>
    </i>
    <i>
      <x v="38"/>
    </i>
    <i r="1">
      <x/>
    </i>
    <i r="1" i="1">
      <x v="1"/>
    </i>
    <i r="1" i="2">
      <x v="2"/>
    </i>
    <i r="1" i="3">
      <x v="3"/>
    </i>
    <i>
      <x v="39"/>
    </i>
    <i r="1">
      <x/>
    </i>
    <i r="1" i="1">
      <x v="1"/>
    </i>
    <i r="1" i="2">
      <x v="2"/>
    </i>
    <i r="1" i="3">
      <x v="3"/>
    </i>
    <i>
      <x v="40"/>
    </i>
    <i r="1">
      <x/>
    </i>
    <i r="1" i="1">
      <x v="1"/>
    </i>
    <i r="1" i="2">
      <x v="2"/>
    </i>
    <i r="1" i="3">
      <x v="3"/>
    </i>
    <i>
      <x v="41"/>
    </i>
    <i r="1">
      <x/>
    </i>
    <i r="1" i="1">
      <x v="1"/>
    </i>
    <i r="1" i="2">
      <x v="2"/>
    </i>
    <i r="1" i="3">
      <x v="3"/>
    </i>
    <i>
      <x v="42"/>
    </i>
    <i r="1">
      <x/>
    </i>
    <i r="1" i="1">
      <x v="1"/>
    </i>
    <i r="1" i="2">
      <x v="2"/>
    </i>
    <i r="1" i="3">
      <x v="3"/>
    </i>
    <i>
      <x v="43"/>
    </i>
    <i r="1">
      <x/>
    </i>
    <i r="1" i="1">
      <x v="1"/>
    </i>
    <i r="1" i="2">
      <x v="2"/>
    </i>
    <i r="1" i="3">
      <x v="3"/>
    </i>
    <i>
      <x v="44"/>
    </i>
    <i r="1">
      <x/>
    </i>
    <i r="1" i="1">
      <x v="1"/>
    </i>
    <i r="1" i="2">
      <x v="2"/>
    </i>
    <i r="1" i="3">
      <x v="3"/>
    </i>
    <i>
      <x v="45"/>
    </i>
    <i r="1">
      <x/>
    </i>
    <i r="1" i="1">
      <x v="1"/>
    </i>
    <i r="1" i="2">
      <x v="2"/>
    </i>
    <i r="1" i="3">
      <x v="3"/>
    </i>
    <i>
      <x v="46"/>
    </i>
    <i r="1">
      <x/>
    </i>
    <i r="1" i="1">
      <x v="1"/>
    </i>
    <i r="1" i="2">
      <x v="2"/>
    </i>
    <i r="1" i="3">
      <x v="3"/>
    </i>
    <i>
      <x v="47"/>
    </i>
    <i r="1">
      <x/>
    </i>
    <i r="1" i="1">
      <x v="1"/>
    </i>
    <i r="1" i="2">
      <x v="2"/>
    </i>
    <i r="1" i="3">
      <x v="3"/>
    </i>
    <i>
      <x v="48"/>
    </i>
    <i r="1">
      <x/>
    </i>
    <i r="1" i="1">
      <x v="1"/>
    </i>
    <i r="1" i="2">
      <x v="2"/>
    </i>
    <i r="1" i="3">
      <x v="3"/>
    </i>
    <i>
      <x v="49"/>
    </i>
    <i r="1">
      <x/>
    </i>
    <i r="1" i="1">
      <x v="1"/>
    </i>
    <i r="1" i="2">
      <x v="2"/>
    </i>
    <i r="1" i="3">
      <x v="3"/>
    </i>
    <i>
      <x v="50"/>
    </i>
    <i r="1">
      <x/>
    </i>
    <i r="1" i="1">
      <x v="1"/>
    </i>
    <i r="1" i="2">
      <x v="2"/>
    </i>
    <i r="1" i="3">
      <x v="3"/>
    </i>
    <i>
      <x v="51"/>
    </i>
    <i r="1">
      <x/>
    </i>
    <i r="1" i="1">
      <x v="1"/>
    </i>
    <i r="1" i="2">
      <x v="2"/>
    </i>
    <i r="1" i="3">
      <x v="3"/>
    </i>
    <i>
      <x v="52"/>
    </i>
    <i r="1">
      <x/>
    </i>
    <i r="1" i="1">
      <x v="1"/>
    </i>
    <i r="1" i="2">
      <x v="2"/>
    </i>
    <i r="1" i="3">
      <x v="3"/>
    </i>
    <i>
      <x v="53"/>
    </i>
    <i r="1">
      <x/>
    </i>
    <i r="1" i="1">
      <x v="1"/>
    </i>
    <i r="1" i="2">
      <x v="2"/>
    </i>
    <i r="1" i="3">
      <x v="3"/>
    </i>
    <i>
      <x v="54"/>
    </i>
    <i r="1">
      <x/>
    </i>
    <i r="1" i="1">
      <x v="1"/>
    </i>
    <i r="1" i="2">
      <x v="2"/>
    </i>
    <i r="1" i="3">
      <x v="3"/>
    </i>
    <i>
      <x v="55"/>
    </i>
    <i r="1">
      <x/>
    </i>
    <i r="1" i="1">
      <x v="1"/>
    </i>
    <i r="1" i="2">
      <x v="2"/>
    </i>
    <i r="1" i="3">
      <x v="3"/>
    </i>
    <i>
      <x v="56"/>
    </i>
    <i r="1">
      <x/>
    </i>
    <i r="1" i="1">
      <x v="1"/>
    </i>
    <i r="1" i="2">
      <x v="2"/>
    </i>
    <i r="1" i="3">
      <x v="3"/>
    </i>
    <i>
      <x v="57"/>
    </i>
    <i r="1">
      <x/>
    </i>
    <i r="1" i="1">
      <x v="1"/>
    </i>
    <i r="1" i="2">
      <x v="2"/>
    </i>
    <i r="1" i="3">
      <x v="3"/>
    </i>
    <i>
      <x v="58"/>
    </i>
    <i r="1">
      <x/>
    </i>
    <i r="1" i="1">
      <x v="1"/>
    </i>
    <i r="1" i="2">
      <x v="2"/>
    </i>
    <i r="1" i="3">
      <x v="3"/>
    </i>
    <i>
      <x v="59"/>
    </i>
    <i r="1">
      <x/>
    </i>
    <i r="1" i="1">
      <x v="1"/>
    </i>
    <i r="1" i="2">
      <x v="2"/>
    </i>
    <i r="1" i="3">
      <x v="3"/>
    </i>
    <i>
      <x v="60"/>
    </i>
    <i r="1">
      <x/>
    </i>
    <i r="1" i="1">
      <x v="1"/>
    </i>
    <i r="1" i="2">
      <x v="2"/>
    </i>
    <i r="1" i="3">
      <x v="3"/>
    </i>
    <i>
      <x v="61"/>
    </i>
    <i r="1">
      <x/>
    </i>
    <i r="1" i="1">
      <x v="1"/>
    </i>
    <i r="1" i="2">
      <x v="2"/>
    </i>
    <i r="1" i="3">
      <x v="3"/>
    </i>
    <i>
      <x v="62"/>
    </i>
    <i r="1">
      <x/>
    </i>
    <i r="1" i="1">
      <x v="1"/>
    </i>
    <i r="1" i="2">
      <x v="2"/>
    </i>
    <i r="1" i="3">
      <x v="3"/>
    </i>
    <i>
      <x v="63"/>
    </i>
    <i r="1">
      <x/>
    </i>
    <i r="1" i="1">
      <x v="1"/>
    </i>
    <i r="1" i="2">
      <x v="2"/>
    </i>
    <i r="1" i="3">
      <x v="3"/>
    </i>
    <i>
      <x v="64"/>
    </i>
    <i r="1">
      <x/>
    </i>
    <i r="1" i="1">
      <x v="1"/>
    </i>
    <i r="1" i="2">
      <x v="2"/>
    </i>
    <i r="1" i="3">
      <x v="3"/>
    </i>
    <i>
      <x v="65"/>
    </i>
    <i r="1">
      <x/>
    </i>
    <i r="1" i="1">
      <x v="1"/>
    </i>
    <i r="1" i="2">
      <x v="2"/>
    </i>
    <i r="1" i="3">
      <x v="3"/>
    </i>
    <i>
      <x v="66"/>
    </i>
    <i r="1">
      <x/>
    </i>
    <i r="1" i="1">
      <x v="1"/>
    </i>
    <i r="1" i="2">
      <x v="2"/>
    </i>
    <i r="1" i="3">
      <x v="3"/>
    </i>
    <i>
      <x v="67"/>
    </i>
    <i r="1">
      <x/>
    </i>
    <i r="1" i="1">
      <x v="1"/>
    </i>
    <i r="1" i="2">
      <x v="2"/>
    </i>
    <i r="1" i="3">
      <x v="3"/>
    </i>
    <i>
      <x v="68"/>
    </i>
    <i r="1">
      <x/>
    </i>
    <i r="1" i="1">
      <x v="1"/>
    </i>
    <i r="1" i="2">
      <x v="2"/>
    </i>
    <i r="1" i="3">
      <x v="3"/>
    </i>
    <i>
      <x v="69"/>
    </i>
    <i r="1">
      <x/>
    </i>
    <i r="1" i="1">
      <x v="1"/>
    </i>
    <i r="1" i="2">
      <x v="2"/>
    </i>
    <i r="1" i="3">
      <x v="3"/>
    </i>
    <i>
      <x v="70"/>
    </i>
    <i r="1">
      <x/>
    </i>
    <i r="1" i="1">
      <x v="1"/>
    </i>
    <i r="1" i="2">
      <x v="2"/>
    </i>
    <i r="1" i="3">
      <x v="3"/>
    </i>
    <i>
      <x v="71"/>
    </i>
    <i r="1">
      <x/>
    </i>
    <i r="1" i="1">
      <x v="1"/>
    </i>
    <i r="1" i="2">
      <x v="2"/>
    </i>
    <i r="1" i="3">
      <x v="3"/>
    </i>
    <i>
      <x v="72"/>
    </i>
    <i r="1">
      <x/>
    </i>
    <i r="1" i="1">
      <x v="1"/>
    </i>
    <i r="1" i="2">
      <x v="2"/>
    </i>
    <i r="1" i="3">
      <x v="3"/>
    </i>
    <i>
      <x v="73"/>
    </i>
    <i r="1">
      <x/>
    </i>
    <i r="1" i="1">
      <x v="1"/>
    </i>
    <i r="1" i="2">
      <x v="2"/>
    </i>
    <i r="1" i="3">
      <x v="3"/>
    </i>
    <i>
      <x v="74"/>
    </i>
    <i r="1">
      <x/>
    </i>
    <i r="1" i="1">
      <x v="1"/>
    </i>
    <i r="1" i="2">
      <x v="2"/>
    </i>
    <i r="1" i="3">
      <x v="3"/>
    </i>
    <i>
      <x v="75"/>
    </i>
    <i r="1">
      <x/>
    </i>
    <i r="1" i="1">
      <x v="1"/>
    </i>
    <i r="1" i="2">
      <x v="2"/>
    </i>
    <i r="1" i="3">
      <x v="3"/>
    </i>
    <i>
      <x v="76"/>
    </i>
    <i r="1">
      <x/>
    </i>
    <i r="1" i="1">
      <x v="1"/>
    </i>
    <i r="1" i="2">
      <x v="2"/>
    </i>
    <i r="1" i="3">
      <x v="3"/>
    </i>
    <i>
      <x v="77"/>
    </i>
    <i r="1">
      <x/>
    </i>
    <i r="1" i="1">
      <x v="1"/>
    </i>
    <i r="1" i="2">
      <x v="2"/>
    </i>
    <i r="1" i="3">
      <x v="3"/>
    </i>
    <i>
      <x v="78"/>
    </i>
    <i r="1">
      <x/>
    </i>
    <i r="1" i="1">
      <x v="1"/>
    </i>
    <i r="1" i="2">
      <x v="2"/>
    </i>
    <i r="1" i="3">
      <x v="3"/>
    </i>
    <i>
      <x v="79"/>
    </i>
    <i r="1">
      <x/>
    </i>
    <i r="1" i="1">
      <x v="1"/>
    </i>
    <i r="1" i="2">
      <x v="2"/>
    </i>
    <i r="1" i="3">
      <x v="3"/>
    </i>
    <i>
      <x v="80"/>
    </i>
    <i r="1">
      <x/>
    </i>
    <i r="1" i="1">
      <x v="1"/>
    </i>
    <i r="1" i="2">
      <x v="2"/>
    </i>
    <i r="1" i="3">
      <x v="3"/>
    </i>
    <i>
      <x v="81"/>
    </i>
    <i r="1">
      <x/>
    </i>
    <i r="1" i="1">
      <x v="1"/>
    </i>
    <i r="1" i="2">
      <x v="2"/>
    </i>
    <i r="1" i="3">
      <x v="3"/>
    </i>
    <i>
      <x v="82"/>
    </i>
    <i r="1">
      <x/>
    </i>
    <i r="1" i="1">
      <x v="1"/>
    </i>
    <i r="1" i="2">
      <x v="2"/>
    </i>
    <i r="1" i="3">
      <x v="3"/>
    </i>
    <i>
      <x v="83"/>
    </i>
    <i r="1">
      <x/>
    </i>
    <i r="1" i="1">
      <x v="1"/>
    </i>
    <i r="1" i="2">
      <x v="2"/>
    </i>
    <i r="1" i="3">
      <x v="3"/>
    </i>
    <i>
      <x v="84"/>
    </i>
    <i r="1">
      <x/>
    </i>
    <i r="1" i="1">
      <x v="1"/>
    </i>
    <i r="1" i="2">
      <x v="2"/>
    </i>
    <i r="1" i="3">
      <x v="3"/>
    </i>
    <i>
      <x v="85"/>
    </i>
    <i r="1">
      <x/>
    </i>
    <i r="1" i="1">
      <x v="1"/>
    </i>
    <i r="1" i="2">
      <x v="2"/>
    </i>
    <i r="1" i="3">
      <x v="3"/>
    </i>
    <i>
      <x v="86"/>
    </i>
    <i r="1">
      <x/>
    </i>
    <i r="1" i="1">
      <x v="1"/>
    </i>
    <i r="1" i="2">
      <x v="2"/>
    </i>
    <i r="1" i="3">
      <x v="3"/>
    </i>
    <i>
      <x v="87"/>
    </i>
    <i r="1">
      <x/>
    </i>
    <i r="1" i="1">
      <x v="1"/>
    </i>
    <i r="1" i="2">
      <x v="2"/>
    </i>
    <i r="1" i="3">
      <x v="3"/>
    </i>
    <i>
      <x v="88"/>
    </i>
    <i r="1">
      <x/>
    </i>
    <i r="1" i="1">
      <x v="1"/>
    </i>
    <i r="1" i="2">
      <x v="2"/>
    </i>
    <i r="1" i="3">
      <x v="3"/>
    </i>
    <i>
      <x v="89"/>
    </i>
    <i r="1">
      <x/>
    </i>
    <i r="1" i="1">
      <x v="1"/>
    </i>
    <i r="1" i="2">
      <x v="2"/>
    </i>
    <i r="1" i="3">
      <x v="3"/>
    </i>
    <i>
      <x v="90"/>
    </i>
    <i r="1">
      <x/>
    </i>
    <i r="1" i="1">
      <x v="1"/>
    </i>
    <i r="1" i="2">
      <x v="2"/>
    </i>
    <i r="1" i="3">
      <x v="3"/>
    </i>
    <i>
      <x v="91"/>
    </i>
    <i r="1">
      <x/>
    </i>
    <i r="1" i="1">
      <x v="1"/>
    </i>
    <i r="1" i="2">
      <x v="2"/>
    </i>
    <i r="1" i="3">
      <x v="3"/>
    </i>
    <i>
      <x v="92"/>
    </i>
    <i r="1">
      <x/>
    </i>
    <i r="1" i="1">
      <x v="1"/>
    </i>
    <i r="1" i="2">
      <x v="2"/>
    </i>
    <i r="1" i="3">
      <x v="3"/>
    </i>
    <i>
      <x v="93"/>
    </i>
    <i r="1">
      <x/>
    </i>
    <i r="1" i="1">
      <x v="1"/>
    </i>
    <i r="1" i="2">
      <x v="2"/>
    </i>
    <i r="1" i="3">
      <x v="3"/>
    </i>
    <i>
      <x v="94"/>
    </i>
    <i r="1">
      <x/>
    </i>
    <i r="1" i="1">
      <x v="1"/>
    </i>
    <i r="1" i="2">
      <x v="2"/>
    </i>
    <i r="1" i="3">
      <x v="3"/>
    </i>
    <i>
      <x v="95"/>
    </i>
    <i r="1">
      <x/>
    </i>
    <i r="1" i="1">
      <x v="1"/>
    </i>
    <i r="1" i="2">
      <x v="2"/>
    </i>
    <i r="1" i="3">
      <x v="3"/>
    </i>
    <i>
      <x v="96"/>
    </i>
    <i r="1">
      <x/>
    </i>
    <i r="1" i="1">
      <x v="1"/>
    </i>
    <i r="1" i="2">
      <x v="2"/>
    </i>
    <i r="1" i="3">
      <x v="3"/>
    </i>
    <i>
      <x v="97"/>
    </i>
    <i r="1">
      <x/>
    </i>
    <i r="1" i="1">
      <x v="1"/>
    </i>
    <i r="1" i="2">
      <x v="2"/>
    </i>
    <i r="1" i="3">
      <x v="3"/>
    </i>
    <i>
      <x v="98"/>
    </i>
    <i r="1">
      <x/>
    </i>
    <i r="1" i="1">
      <x v="1"/>
    </i>
    <i r="1" i="2">
      <x v="2"/>
    </i>
    <i r="1" i="3">
      <x v="3"/>
    </i>
    <i>
      <x v="99"/>
    </i>
    <i r="1">
      <x/>
    </i>
    <i r="1" i="1">
      <x v="1"/>
    </i>
    <i r="1" i="2">
      <x v="2"/>
    </i>
    <i r="1" i="3">
      <x v="3"/>
    </i>
    <i>
      <x v="100"/>
    </i>
    <i r="1">
      <x/>
    </i>
    <i r="1" i="1">
      <x v="1"/>
    </i>
    <i r="1" i="2">
      <x v="2"/>
    </i>
    <i r="1" i="3">
      <x v="3"/>
    </i>
    <i>
      <x v="101"/>
    </i>
    <i r="1">
      <x/>
    </i>
    <i r="1" i="1">
      <x v="1"/>
    </i>
    <i r="1" i="2">
      <x v="2"/>
    </i>
    <i r="1" i="3">
      <x v="3"/>
    </i>
    <i>
      <x v="102"/>
    </i>
    <i r="1">
      <x/>
    </i>
    <i r="1" i="1">
      <x v="1"/>
    </i>
    <i r="1" i="2">
      <x v="2"/>
    </i>
    <i r="1" i="3">
      <x v="3"/>
    </i>
    <i>
      <x v="103"/>
    </i>
    <i r="1">
      <x/>
    </i>
    <i r="1" i="1">
      <x v="1"/>
    </i>
    <i r="1" i="2">
      <x v="2"/>
    </i>
    <i r="1" i="3">
      <x v="3"/>
    </i>
    <i>
      <x v="104"/>
    </i>
    <i r="1">
      <x/>
    </i>
    <i r="1" i="1">
      <x v="1"/>
    </i>
    <i r="1" i="2">
      <x v="2"/>
    </i>
    <i r="1" i="3">
      <x v="3"/>
    </i>
    <i>
      <x v="105"/>
    </i>
    <i r="1">
      <x/>
    </i>
    <i r="1" i="1">
      <x v="1"/>
    </i>
    <i r="1" i="2">
      <x v="2"/>
    </i>
    <i r="1" i="3">
      <x v="3"/>
    </i>
    <i>
      <x v="106"/>
    </i>
    <i r="1">
      <x/>
    </i>
    <i r="1" i="1">
      <x v="1"/>
    </i>
    <i r="1" i="2">
      <x v="2"/>
    </i>
    <i r="1" i="3">
      <x v="3"/>
    </i>
    <i>
      <x v="107"/>
    </i>
    <i r="1">
      <x/>
    </i>
    <i r="1" i="1">
      <x v="1"/>
    </i>
    <i r="1" i="2">
      <x v="2"/>
    </i>
    <i r="1" i="3">
      <x v="3"/>
    </i>
    <i>
      <x v="108"/>
    </i>
    <i r="1">
      <x/>
    </i>
    <i r="1" i="1">
      <x v="1"/>
    </i>
    <i r="1" i="2">
      <x v="2"/>
    </i>
    <i r="1" i="3">
      <x v="3"/>
    </i>
    <i>
      <x v="109"/>
    </i>
    <i r="1">
      <x/>
    </i>
    <i r="1" i="1">
      <x v="1"/>
    </i>
    <i r="1" i="2">
      <x v="2"/>
    </i>
    <i r="1" i="3">
      <x v="3"/>
    </i>
    <i>
      <x v="110"/>
    </i>
    <i r="1">
      <x/>
    </i>
    <i r="1" i="1">
      <x v="1"/>
    </i>
    <i r="1" i="2">
      <x v="2"/>
    </i>
    <i r="1" i="3">
      <x v="3"/>
    </i>
    <i>
      <x v="111"/>
    </i>
    <i r="1">
      <x/>
    </i>
    <i r="1" i="1">
      <x v="1"/>
    </i>
    <i r="1" i="2">
      <x v="2"/>
    </i>
    <i r="1" i="3">
      <x v="3"/>
    </i>
    <i>
      <x v="112"/>
    </i>
    <i r="1">
      <x/>
    </i>
    <i r="1" i="1">
      <x v="1"/>
    </i>
    <i r="1" i="2">
      <x v="2"/>
    </i>
    <i r="1" i="3">
      <x v="3"/>
    </i>
    <i>
      <x v="113"/>
    </i>
    <i r="1">
      <x/>
    </i>
    <i r="1" i="1">
      <x v="1"/>
    </i>
    <i r="1" i="2">
      <x v="2"/>
    </i>
    <i r="1" i="3">
      <x v="3"/>
    </i>
    <i>
      <x v="114"/>
    </i>
    <i r="1">
      <x/>
    </i>
    <i r="1" i="1">
      <x v="1"/>
    </i>
    <i r="1" i="2">
      <x v="2"/>
    </i>
    <i r="1" i="3">
      <x v="3"/>
    </i>
    <i>
      <x v="115"/>
    </i>
    <i r="1">
      <x/>
    </i>
    <i r="1" i="1">
      <x v="1"/>
    </i>
    <i r="1" i="2">
      <x v="2"/>
    </i>
    <i r="1" i="3">
      <x v="3"/>
    </i>
    <i>
      <x v="116"/>
    </i>
    <i r="1">
      <x/>
    </i>
    <i r="1" i="1">
      <x v="1"/>
    </i>
    <i r="1" i="2">
      <x v="2"/>
    </i>
    <i r="1" i="3">
      <x v="3"/>
    </i>
    <i>
      <x v="117"/>
    </i>
    <i r="1">
      <x/>
    </i>
    <i r="1" i="1">
      <x v="1"/>
    </i>
    <i r="1" i="2">
      <x v="2"/>
    </i>
    <i r="1" i="3">
      <x v="3"/>
    </i>
    <i>
      <x v="118"/>
    </i>
    <i r="1">
      <x/>
    </i>
    <i r="1" i="1">
      <x v="1"/>
    </i>
    <i r="1" i="2">
      <x v="2"/>
    </i>
    <i r="1" i="3">
      <x v="3"/>
    </i>
    <i>
      <x v="119"/>
    </i>
    <i r="1">
      <x/>
    </i>
    <i r="1" i="1">
      <x v="1"/>
    </i>
    <i r="1" i="2">
      <x v="2"/>
    </i>
    <i r="1" i="3">
      <x v="3"/>
    </i>
    <i>
      <x v="120"/>
    </i>
    <i r="1">
      <x/>
    </i>
    <i r="1" i="1">
      <x v="1"/>
    </i>
    <i r="1" i="2">
      <x v="2"/>
    </i>
    <i r="1" i="3">
      <x v="3"/>
    </i>
    <i>
      <x v="121"/>
    </i>
    <i r="1">
      <x/>
    </i>
    <i r="1" i="1">
      <x v="1"/>
    </i>
    <i r="1" i="2">
      <x v="2"/>
    </i>
    <i r="1" i="3">
      <x v="3"/>
    </i>
    <i>
      <x v="122"/>
    </i>
    <i r="1">
      <x/>
    </i>
    <i r="1" i="1">
      <x v="1"/>
    </i>
    <i r="1" i="2">
      <x v="2"/>
    </i>
    <i r="1" i="3">
      <x v="3"/>
    </i>
    <i>
      <x v="123"/>
    </i>
    <i r="1">
      <x/>
    </i>
    <i r="1" i="1">
      <x v="1"/>
    </i>
    <i r="1" i="2">
      <x v="2"/>
    </i>
    <i r="1" i="3">
      <x v="3"/>
    </i>
    <i>
      <x v="124"/>
    </i>
    <i r="1">
      <x/>
    </i>
    <i r="1" i="1">
      <x v="1"/>
    </i>
    <i r="1" i="2">
      <x v="2"/>
    </i>
    <i r="1" i="3">
      <x v="3"/>
    </i>
    <i>
      <x v="125"/>
    </i>
    <i r="1">
      <x/>
    </i>
    <i r="1" i="1">
      <x v="1"/>
    </i>
    <i r="1" i="2">
      <x v="2"/>
    </i>
    <i r="1" i="3">
      <x v="3"/>
    </i>
    <i>
      <x v="126"/>
    </i>
    <i r="1">
      <x/>
    </i>
    <i r="1" i="1">
      <x v="1"/>
    </i>
    <i r="1" i="2">
      <x v="2"/>
    </i>
    <i r="1" i="3">
      <x v="3"/>
    </i>
    <i>
      <x v="127"/>
    </i>
    <i r="1">
      <x/>
    </i>
    <i r="1" i="1">
      <x v="1"/>
    </i>
    <i r="1" i="2">
      <x v="2"/>
    </i>
    <i r="1" i="3">
      <x v="3"/>
    </i>
    <i>
      <x v="128"/>
    </i>
    <i r="1">
      <x/>
    </i>
    <i r="1" i="1">
      <x v="1"/>
    </i>
    <i r="1" i="2">
      <x v="2"/>
    </i>
    <i r="1" i="3">
      <x v="3"/>
    </i>
    <i>
      <x v="129"/>
    </i>
    <i r="1">
      <x/>
    </i>
    <i r="1" i="1">
      <x v="1"/>
    </i>
    <i r="1" i="2">
      <x v="2"/>
    </i>
    <i r="1" i="3">
      <x v="3"/>
    </i>
    <i>
      <x v="130"/>
    </i>
    <i r="1">
      <x/>
    </i>
    <i r="1" i="1">
      <x v="1"/>
    </i>
    <i r="1" i="2">
      <x v="2"/>
    </i>
    <i r="1" i="3">
      <x v="3"/>
    </i>
    <i>
      <x v="131"/>
    </i>
    <i r="1">
      <x/>
    </i>
    <i r="1" i="1">
      <x v="1"/>
    </i>
    <i r="1" i="2">
      <x v="2"/>
    </i>
    <i r="1" i="3">
      <x v="3"/>
    </i>
    <i>
      <x v="132"/>
    </i>
    <i r="1">
      <x/>
    </i>
    <i r="1" i="1">
      <x v="1"/>
    </i>
    <i r="1" i="2">
      <x v="2"/>
    </i>
    <i r="1" i="3">
      <x v="3"/>
    </i>
    <i>
      <x v="133"/>
    </i>
    <i r="1">
      <x/>
    </i>
    <i r="1" i="1">
      <x v="1"/>
    </i>
    <i r="1" i="2">
      <x v="2"/>
    </i>
    <i r="1" i="3">
      <x v="3"/>
    </i>
    <i>
      <x v="134"/>
    </i>
    <i r="1">
      <x/>
    </i>
    <i r="1" i="1">
      <x v="1"/>
    </i>
    <i r="1" i="2">
      <x v="2"/>
    </i>
    <i r="1" i="3">
      <x v="3"/>
    </i>
    <i>
      <x v="135"/>
    </i>
    <i r="1">
      <x/>
    </i>
    <i r="1" i="1">
      <x v="1"/>
    </i>
    <i r="1" i="2">
      <x v="2"/>
    </i>
    <i r="1" i="3">
      <x v="3"/>
    </i>
    <i>
      <x v="136"/>
    </i>
    <i r="1">
      <x/>
    </i>
    <i r="1" i="1">
      <x v="1"/>
    </i>
    <i r="1" i="2">
      <x v="2"/>
    </i>
    <i r="1" i="3">
      <x v="3"/>
    </i>
    <i>
      <x v="137"/>
    </i>
    <i r="1">
      <x/>
    </i>
    <i r="1" i="1">
      <x v="1"/>
    </i>
    <i r="1" i="2">
      <x v="2"/>
    </i>
    <i r="1" i="3">
      <x v="3"/>
    </i>
    <i>
      <x v="138"/>
    </i>
    <i r="1">
      <x/>
    </i>
    <i r="1" i="1">
      <x v="1"/>
    </i>
    <i r="1" i="2">
      <x v="2"/>
    </i>
    <i r="1" i="3">
      <x v="3"/>
    </i>
    <i>
      <x v="139"/>
    </i>
    <i r="1">
      <x/>
    </i>
    <i r="1" i="1">
      <x v="1"/>
    </i>
    <i r="1" i="2">
      <x v="2"/>
    </i>
    <i r="1" i="3">
      <x v="3"/>
    </i>
    <i>
      <x v="140"/>
    </i>
    <i r="1">
      <x/>
    </i>
    <i r="1" i="1">
      <x v="1"/>
    </i>
    <i r="1" i="2">
      <x v="2"/>
    </i>
    <i r="1" i="3">
      <x v="3"/>
    </i>
    <i>
      <x v="141"/>
    </i>
    <i r="1">
      <x/>
    </i>
    <i r="1" i="1">
      <x v="1"/>
    </i>
    <i r="1" i="2">
      <x v="2"/>
    </i>
    <i r="1" i="3">
      <x v="3"/>
    </i>
    <i>
      <x v="142"/>
    </i>
    <i r="1">
      <x/>
    </i>
    <i r="1" i="1">
      <x v="1"/>
    </i>
    <i r="1" i="2">
      <x v="2"/>
    </i>
    <i r="1" i="3">
      <x v="3"/>
    </i>
    <i>
      <x v="143"/>
    </i>
    <i r="1">
      <x/>
    </i>
    <i r="1" i="1">
      <x v="1"/>
    </i>
    <i r="1" i="2">
      <x v="2"/>
    </i>
    <i r="1" i="3">
      <x v="3"/>
    </i>
    <i>
      <x v="144"/>
    </i>
    <i r="1">
      <x/>
    </i>
    <i r="1" i="1">
      <x v="1"/>
    </i>
    <i r="1" i="2">
      <x v="2"/>
    </i>
    <i r="1" i="3">
      <x v="3"/>
    </i>
    <i>
      <x v="145"/>
    </i>
    <i r="1">
      <x/>
    </i>
    <i r="1" i="1">
      <x v="1"/>
    </i>
    <i r="1" i="2">
      <x v="2"/>
    </i>
    <i r="1" i="3">
      <x v="3"/>
    </i>
    <i>
      <x v="146"/>
    </i>
    <i r="1">
      <x/>
    </i>
    <i r="1" i="1">
      <x v="1"/>
    </i>
    <i r="1" i="2">
      <x v="2"/>
    </i>
    <i r="1" i="3">
      <x v="3"/>
    </i>
    <i>
      <x v="147"/>
    </i>
    <i r="1">
      <x/>
    </i>
    <i r="1" i="1">
      <x v="1"/>
    </i>
    <i r="1" i="2">
      <x v="2"/>
    </i>
    <i r="1" i="3">
      <x v="3"/>
    </i>
    <i>
      <x v="148"/>
    </i>
    <i r="1">
      <x/>
    </i>
    <i r="1" i="1">
      <x v="1"/>
    </i>
    <i r="1" i="2">
      <x v="2"/>
    </i>
    <i r="1" i="3">
      <x v="3"/>
    </i>
    <i>
      <x v="149"/>
    </i>
    <i r="1">
      <x/>
    </i>
    <i r="1" i="1">
      <x v="1"/>
    </i>
    <i r="1" i="2">
      <x v="2"/>
    </i>
    <i r="1" i="3">
      <x v="3"/>
    </i>
    <i>
      <x v="150"/>
    </i>
    <i r="1">
      <x/>
    </i>
    <i r="1" i="1">
      <x v="1"/>
    </i>
    <i r="1" i="2">
      <x v="2"/>
    </i>
    <i r="1" i="3">
      <x v="3"/>
    </i>
    <i>
      <x v="151"/>
    </i>
    <i r="1">
      <x/>
    </i>
    <i r="1" i="1">
      <x v="1"/>
    </i>
    <i r="1" i="2">
      <x v="2"/>
    </i>
    <i r="1" i="3">
      <x v="3"/>
    </i>
    <i>
      <x v="152"/>
    </i>
    <i r="1">
      <x/>
    </i>
    <i r="1" i="1">
      <x v="1"/>
    </i>
    <i r="1" i="2">
      <x v="2"/>
    </i>
    <i r="1" i="3">
      <x v="3"/>
    </i>
    <i>
      <x v="153"/>
    </i>
    <i r="1">
      <x/>
    </i>
    <i r="1" i="1">
      <x v="1"/>
    </i>
    <i r="1" i="2">
      <x v="2"/>
    </i>
    <i r="1" i="3">
      <x v="3"/>
    </i>
    <i>
      <x v="154"/>
    </i>
    <i r="1">
      <x/>
    </i>
    <i r="1" i="1">
      <x v="1"/>
    </i>
    <i r="1" i="2">
      <x v="2"/>
    </i>
    <i r="1" i="3">
      <x v="3"/>
    </i>
    <i>
      <x v="155"/>
    </i>
    <i r="1">
      <x/>
    </i>
    <i r="1" i="1">
      <x v="1"/>
    </i>
    <i r="1" i="2">
      <x v="2"/>
    </i>
    <i r="1" i="3">
      <x v="3"/>
    </i>
    <i>
      <x v="156"/>
    </i>
    <i r="1">
      <x/>
    </i>
    <i r="1" i="1">
      <x v="1"/>
    </i>
    <i r="1" i="2">
      <x v="2"/>
    </i>
    <i r="1" i="3">
      <x v="3"/>
    </i>
    <i>
      <x v="157"/>
    </i>
    <i r="1">
      <x/>
    </i>
    <i r="1" i="1">
      <x v="1"/>
    </i>
    <i r="1" i="2">
      <x v="2"/>
    </i>
    <i r="1" i="3">
      <x v="3"/>
    </i>
    <i>
      <x v="158"/>
    </i>
    <i r="1">
      <x/>
    </i>
    <i r="1" i="1">
      <x v="1"/>
    </i>
    <i r="1" i="2">
      <x v="2"/>
    </i>
    <i r="1" i="3">
      <x v="3"/>
    </i>
    <i t="grand">
      <x/>
    </i>
    <i t="grand" i="1">
      <x/>
    </i>
    <i t="grand" i="2">
      <x/>
    </i>
    <i t="grand" i="3">
      <x/>
    </i>
  </rowItems>
  <colFields count="1">
    <field x="7"/>
  </colFields>
  <colItems count="19">
    <i>
      <x v="1"/>
    </i>
    <i>
      <x v="2"/>
    </i>
    <i>
      <x v="3"/>
    </i>
    <i>
      <x v="4"/>
    </i>
    <i>
      <x v="5"/>
    </i>
    <i>
      <x v="6"/>
    </i>
    <i>
      <x v="7"/>
    </i>
    <i>
      <x v="8"/>
    </i>
    <i>
      <x v="9"/>
    </i>
    <i>
      <x v="10"/>
    </i>
    <i>
      <x v="11"/>
    </i>
    <i>
      <x v="12"/>
    </i>
    <i>
      <x v="13"/>
    </i>
    <i>
      <x v="14"/>
    </i>
    <i>
      <x v="15"/>
    </i>
    <i>
      <x v="16"/>
    </i>
    <i>
      <x v="17"/>
    </i>
    <i>
      <x v="18"/>
    </i>
    <i t="grand">
      <x/>
    </i>
  </colItems>
  <dataFields count="4">
    <dataField name="Max sur Encours_31_dec" fld="14" subtotal="max" baseField="0" baseItem="0" numFmtId="3"/>
    <dataField name="Somme sur Intérêt" fld="16" baseField="0" baseItem="0" numFmtId="3"/>
    <dataField name="Somme sur Amort" fld="17" baseField="0" baseItem="0" numFmtId="3"/>
    <dataField name="Somme sur Refinancement" fld="23" baseField="0" baseItem="0" numFmtId="3"/>
  </dataFields>
  <formats count="1">
    <format dxfId="0">
      <pivotArea type="all" dataOnly="0" outline="0"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pivotTable" Target="../pivotTables/pivotTable2.xml"/><Relationship Id="rId3"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3.xml"/><Relationship Id="rId2"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hyperlink" Target="https://www.fimarkets.com/pages/cap_floor.php" TargetMode="External"/><Relationship Id="rId2" Type="http://schemas.openxmlformats.org/officeDocument/2006/relationships/hyperlink" Target="https://www.boursorama.com/bourse/devises/taux-de-change-dollar-yen-USD-JPY/" TargetMode="External"/></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4.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tabSelected="1" workbookViewId="0"/>
  </sheetViews>
  <sheetFormatPr baseColWidth="10" defaultRowHeight="15" x14ac:dyDescent="0"/>
  <cols>
    <col min="1" max="1" width="26" style="40" customWidth="1"/>
    <col min="2" max="2" width="77.1640625" style="43" customWidth="1"/>
    <col min="3" max="16384" width="10.83203125" style="40"/>
  </cols>
  <sheetData>
    <row r="1" spans="1:2">
      <c r="A1" s="134" t="s">
        <v>742</v>
      </c>
    </row>
    <row r="2" spans="1:2">
      <c r="A2" s="134" t="s">
        <v>743</v>
      </c>
    </row>
    <row r="3" spans="1:2">
      <c r="A3" s="134" t="s">
        <v>744</v>
      </c>
    </row>
    <row r="4" spans="1:2">
      <c r="A4" s="36" t="s">
        <v>745</v>
      </c>
    </row>
    <row r="6" spans="1:2">
      <c r="A6" s="28" t="s">
        <v>746</v>
      </c>
    </row>
    <row r="7" spans="1:2">
      <c r="A7" s="28" t="s">
        <v>747</v>
      </c>
    </row>
    <row r="9" spans="1:2">
      <c r="A9" s="40" t="s">
        <v>841</v>
      </c>
    </row>
    <row r="10" spans="1:2">
      <c r="A10" s="40" t="s">
        <v>748</v>
      </c>
    </row>
    <row r="11" spans="1:2">
      <c r="A11" s="40" t="s">
        <v>839</v>
      </c>
    </row>
    <row r="12" spans="1:2">
      <c r="A12" s="40" t="s">
        <v>840</v>
      </c>
    </row>
    <row r="14" spans="1:2">
      <c r="A14" s="40" t="s">
        <v>749</v>
      </c>
    </row>
    <row r="15" spans="1:2">
      <c r="A15" s="134" t="s">
        <v>750</v>
      </c>
      <c r="B15" s="43" t="s">
        <v>751</v>
      </c>
    </row>
    <row r="16" spans="1:2" ht="45">
      <c r="B16" s="43" t="s">
        <v>752</v>
      </c>
    </row>
    <row r="17" spans="1:2" ht="30">
      <c r="B17" s="43" t="s">
        <v>753</v>
      </c>
    </row>
    <row r="18" spans="1:2" ht="60">
      <c r="B18" s="43" t="s">
        <v>754</v>
      </c>
    </row>
    <row r="19" spans="1:2">
      <c r="A19" s="134" t="s">
        <v>755</v>
      </c>
      <c r="B19" s="43" t="s">
        <v>756</v>
      </c>
    </row>
    <row r="20" spans="1:2">
      <c r="B20" s="43" t="s">
        <v>757</v>
      </c>
    </row>
    <row r="21" spans="1:2">
      <c r="B21" s="43" t="s">
        <v>758</v>
      </c>
    </row>
    <row r="22" spans="1:2">
      <c r="B22" s="43" t="s">
        <v>759</v>
      </c>
    </row>
    <row r="23" spans="1:2">
      <c r="B23" s="43" t="s">
        <v>760</v>
      </c>
    </row>
    <row r="24" spans="1:2" ht="30">
      <c r="B24" s="43" t="s">
        <v>761</v>
      </c>
    </row>
    <row r="25" spans="1:2" ht="60">
      <c r="B25" s="43" t="s">
        <v>763</v>
      </c>
    </row>
    <row r="26" spans="1:2" ht="30">
      <c r="B26" s="43" t="s">
        <v>762</v>
      </c>
    </row>
    <row r="27" spans="1:2" ht="45">
      <c r="A27" s="134" t="s">
        <v>764</v>
      </c>
      <c r="B27" s="43" t="s">
        <v>765</v>
      </c>
    </row>
    <row r="28" spans="1:2" ht="45">
      <c r="B28" s="43" t="s">
        <v>766</v>
      </c>
    </row>
    <row r="29" spans="1:2" ht="45">
      <c r="B29" s="43" t="s">
        <v>767</v>
      </c>
    </row>
    <row r="30" spans="1:2" ht="60">
      <c r="A30" s="134" t="s">
        <v>768</v>
      </c>
      <c r="B30" s="43" t="s">
        <v>769</v>
      </c>
    </row>
    <row r="31" spans="1:2" ht="45">
      <c r="B31" s="43" t="s">
        <v>770</v>
      </c>
    </row>
    <row r="32" spans="1:2" ht="45">
      <c r="A32" s="134" t="s">
        <v>771</v>
      </c>
      <c r="B32" s="43" t="s">
        <v>772</v>
      </c>
    </row>
    <row r="33" spans="1:2" ht="30">
      <c r="A33" s="135" t="s">
        <v>702</v>
      </c>
      <c r="B33" s="43" t="s">
        <v>773</v>
      </c>
    </row>
    <row r="34" spans="1:2">
      <c r="A34" s="135"/>
      <c r="B34" s="43" t="s">
        <v>774</v>
      </c>
    </row>
    <row r="35" spans="1:2">
      <c r="A35" s="135" t="s">
        <v>551</v>
      </c>
      <c r="B35" s="43" t="s">
        <v>778</v>
      </c>
    </row>
    <row r="36" spans="1:2">
      <c r="A36" s="135" t="s">
        <v>591</v>
      </c>
      <c r="B36" s="43" t="s">
        <v>775</v>
      </c>
    </row>
    <row r="37" spans="1:2" ht="45">
      <c r="A37" s="135"/>
      <c r="B37" s="43" t="s">
        <v>779</v>
      </c>
    </row>
    <row r="38" spans="1:2">
      <c r="A38" s="135" t="s">
        <v>711</v>
      </c>
      <c r="B38" s="43" t="s">
        <v>776</v>
      </c>
    </row>
    <row r="39" spans="1:2">
      <c r="A39" s="135" t="s">
        <v>712</v>
      </c>
      <c r="B39" s="43" t="s">
        <v>777</v>
      </c>
    </row>
    <row r="40" spans="1:2">
      <c r="A40" s="135" t="s">
        <v>549</v>
      </c>
      <c r="B40" s="43" t="s">
        <v>780</v>
      </c>
    </row>
    <row r="41" spans="1:2" ht="75">
      <c r="B41" s="43" t="s">
        <v>781</v>
      </c>
    </row>
    <row r="42" spans="1:2" ht="30">
      <c r="A42" s="134" t="s">
        <v>795</v>
      </c>
      <c r="B42" s="43" t="s">
        <v>796</v>
      </c>
    </row>
    <row r="43" spans="1:2" ht="30">
      <c r="A43" s="134"/>
      <c r="B43" s="43" t="s">
        <v>797</v>
      </c>
    </row>
    <row r="44" spans="1:2" ht="30">
      <c r="A44" s="134" t="s">
        <v>798</v>
      </c>
      <c r="B44" s="43" t="s">
        <v>838</v>
      </c>
    </row>
    <row r="45" spans="1:2" ht="45">
      <c r="A45" s="134"/>
      <c r="B45" s="43" t="s">
        <v>842</v>
      </c>
    </row>
    <row r="46" spans="1:2">
      <c r="A46" s="134" t="s">
        <v>837</v>
      </c>
      <c r="B46" s="43" t="s">
        <v>836</v>
      </c>
    </row>
    <row r="47" spans="1:2">
      <c r="A47" s="134"/>
    </row>
    <row r="48" spans="1:2" ht="45">
      <c r="A48" s="134" t="s">
        <v>782</v>
      </c>
      <c r="B48" s="43" t="s">
        <v>785</v>
      </c>
    </row>
    <row r="49" spans="1:2">
      <c r="A49" s="134" t="s">
        <v>783</v>
      </c>
      <c r="B49" s="43" t="s">
        <v>784</v>
      </c>
    </row>
    <row r="50" spans="1:2">
      <c r="A50" s="134"/>
    </row>
    <row r="51" spans="1:2">
      <c r="B51" s="43" t="s">
        <v>786</v>
      </c>
    </row>
    <row r="52" spans="1:2">
      <c r="A52" s="134" t="s">
        <v>787</v>
      </c>
      <c r="B52" s="43" t="s">
        <v>788</v>
      </c>
    </row>
    <row r="53" spans="1:2">
      <c r="A53" s="134" t="s">
        <v>789</v>
      </c>
      <c r="B53" s="43" t="s">
        <v>790</v>
      </c>
    </row>
    <row r="54" spans="1:2" ht="30">
      <c r="A54" s="134" t="s">
        <v>791</v>
      </c>
      <c r="B54" s="43" t="s">
        <v>792</v>
      </c>
    </row>
    <row r="55" spans="1:2">
      <c r="A55" s="134" t="s">
        <v>793</v>
      </c>
      <c r="B55" s="43" t="s">
        <v>794</v>
      </c>
    </row>
  </sheetData>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enableFormatConditionsCalculation="0"/>
  <dimension ref="A3:AO27"/>
  <sheetViews>
    <sheetView topLeftCell="A16" workbookViewId="0">
      <selection activeCell="R12" sqref="R5:R23"/>
      <pivotSelection pane="bottomRight" showHeader="1" axis="axisRow" activeRow="11" activeCol="17" previousRow="11" previousCol="17" click="1" r:id="rId2">
        <pivotArea dataOnly="0" labelOnly="1" fieldPosition="0">
          <references count="1">
            <reference field="0" count="0"/>
          </references>
        </pivotArea>
      </pivotSelection>
    </sheetView>
  </sheetViews>
  <sheetFormatPr baseColWidth="10" defaultRowHeight="15" x14ac:dyDescent="0"/>
  <cols>
    <col min="1" max="1" width="34.1640625" bestFit="1" customWidth="1"/>
    <col min="2" max="2" width="22.5" customWidth="1"/>
    <col min="3" max="3" width="10.1640625" customWidth="1"/>
    <col min="4" max="4" width="10.1640625" bestFit="1" customWidth="1"/>
    <col min="5" max="6" width="10.1640625" customWidth="1"/>
    <col min="7" max="7" width="10.1640625" bestFit="1" customWidth="1"/>
    <col min="8" max="8" width="11.1640625" bestFit="1" customWidth="1"/>
    <col min="9" max="17" width="11.1640625" customWidth="1"/>
    <col min="18" max="18" width="37.1640625" customWidth="1"/>
    <col min="19" max="19" width="22.5" customWidth="1"/>
    <col min="20" max="20" width="11.1640625" customWidth="1"/>
    <col min="21" max="22" width="11.1640625" bestFit="1" customWidth="1"/>
    <col min="23" max="23" width="12.6640625" bestFit="1" customWidth="1"/>
    <col min="24" max="24" width="11.1640625" bestFit="1" customWidth="1"/>
    <col min="25" max="25" width="12.6640625" bestFit="1" customWidth="1"/>
    <col min="26" max="26" width="12.6640625" customWidth="1"/>
    <col min="27" max="29" width="11.1640625" customWidth="1"/>
    <col min="30" max="30" width="12.6640625" customWidth="1"/>
    <col min="31" max="31" width="28" bestFit="1" customWidth="1"/>
    <col min="32" max="32" width="9.83203125" customWidth="1"/>
    <col min="33" max="33" width="7.1640625" bestFit="1" customWidth="1"/>
    <col min="34" max="34" width="5.6640625" bestFit="1" customWidth="1"/>
    <col min="35" max="35" width="6.1640625" bestFit="1" customWidth="1"/>
    <col min="36" max="36" width="12" bestFit="1" customWidth="1"/>
    <col min="37" max="37" width="10.83203125" bestFit="1" customWidth="1"/>
  </cols>
  <sheetData>
    <row r="3" spans="1:41">
      <c r="A3" s="93" t="s">
        <v>708</v>
      </c>
      <c r="B3" s="93" t="s">
        <v>572</v>
      </c>
      <c r="R3" s="93" t="s">
        <v>710</v>
      </c>
      <c r="S3" s="93" t="s">
        <v>572</v>
      </c>
      <c r="AE3" s="93" t="s">
        <v>709</v>
      </c>
      <c r="AF3" s="93" t="s">
        <v>572</v>
      </c>
    </row>
    <row r="4" spans="1:41">
      <c r="A4" s="93" t="s">
        <v>570</v>
      </c>
      <c r="B4" t="s">
        <v>591</v>
      </c>
      <c r="C4" t="s">
        <v>549</v>
      </c>
      <c r="D4" t="s">
        <v>711</v>
      </c>
      <c r="E4" t="s">
        <v>712</v>
      </c>
      <c r="F4" t="s">
        <v>551</v>
      </c>
      <c r="G4" t="s">
        <v>702</v>
      </c>
      <c r="H4" t="s">
        <v>571</v>
      </c>
      <c r="I4" t="str">
        <f>F4&amp;" + "&amp;E4</f>
        <v>Struct + Restr_sec</v>
      </c>
      <c r="J4" t="str">
        <f>C4&amp;" + "&amp;G4</f>
        <v>Non_st + vx</v>
      </c>
      <c r="K4" t="s">
        <v>713</v>
      </c>
      <c r="L4" t="s">
        <v>716</v>
      </c>
      <c r="M4" t="s">
        <v>736</v>
      </c>
      <c r="N4" t="s">
        <v>731</v>
      </c>
      <c r="P4" t="s">
        <v>732</v>
      </c>
      <c r="R4" s="93" t="s">
        <v>570</v>
      </c>
      <c r="S4" t="s">
        <v>591</v>
      </c>
      <c r="T4" t="s">
        <v>549</v>
      </c>
      <c r="U4" t="s">
        <v>711</v>
      </c>
      <c r="V4" t="s">
        <v>712</v>
      </c>
      <c r="W4" t="s">
        <v>551</v>
      </c>
      <c r="X4" t="s">
        <v>702</v>
      </c>
      <c r="Y4" t="s">
        <v>571</v>
      </c>
      <c r="Z4" t="str">
        <f>W4&amp;" + "&amp;V4</f>
        <v>Struct + Restr_sec</v>
      </c>
      <c r="AA4" t="str">
        <f>T4&amp;" + "&amp;X4</f>
        <v>Non_st + vx</v>
      </c>
      <c r="AE4" s="93" t="s">
        <v>570</v>
      </c>
      <c r="AF4" t="str">
        <f>S4</f>
        <v>Livr_A</v>
      </c>
      <c r="AG4" t="str">
        <f t="shared" ref="AG4:AN4" si="0">T4</f>
        <v>Non_st</v>
      </c>
      <c r="AH4" t="str">
        <f t="shared" si="0"/>
        <v>Restr_aidé</v>
      </c>
      <c r="AI4" t="str">
        <f t="shared" si="0"/>
        <v>Restr_sec</v>
      </c>
      <c r="AJ4" t="str">
        <f t="shared" si="0"/>
        <v>Struct</v>
      </c>
      <c r="AK4" t="str">
        <f t="shared" si="0"/>
        <v>vx</v>
      </c>
      <c r="AL4" t="str">
        <f t="shared" si="0"/>
        <v>Total</v>
      </c>
      <c r="AM4" t="str">
        <f t="shared" si="0"/>
        <v>Struct + Restr_sec</v>
      </c>
      <c r="AN4" t="str">
        <f t="shared" si="0"/>
        <v>Non_st + vx</v>
      </c>
      <c r="AO4" t="s">
        <v>715</v>
      </c>
    </row>
    <row r="5" spans="1:41">
      <c r="A5" s="94">
        <v>2000</v>
      </c>
      <c r="B5" s="57">
        <v>0</v>
      </c>
      <c r="C5" s="57">
        <v>0</v>
      </c>
      <c r="D5" s="57">
        <v>0</v>
      </c>
      <c r="E5" s="57">
        <v>0</v>
      </c>
      <c r="F5" s="57">
        <v>0</v>
      </c>
      <c r="G5" s="57">
        <v>9625412.0578113832</v>
      </c>
      <c r="H5" s="57">
        <v>9625412.0578113832</v>
      </c>
      <c r="I5" s="57">
        <f>F5+E5</f>
        <v>0</v>
      </c>
      <c r="J5" s="57">
        <f>C5+G5</f>
        <v>9625412.0578113832</v>
      </c>
      <c r="K5" s="57"/>
      <c r="L5" s="57">
        <f>SUMPRODUCT((annee_tous=$A5)*emprunts_annees!$W$2:$W$1367)</f>
        <v>0</v>
      </c>
      <c r="M5" s="132">
        <f>IF(SUM(L$5:L5)&lt;&gt;0,SUM(L$5:L5)*AN5,0)</f>
        <v>0</v>
      </c>
      <c r="N5" s="57">
        <f t="shared" ref="N5:N23" si="1">SUMPRODUCT((année_refi=$A5)*(IRA_aidée=0),IRA_en_sus)</f>
        <v>0</v>
      </c>
      <c r="O5" s="132">
        <f>IF(SUM(N$5:N5)&lt;&gt;0,SUM(N$5:N5)*AN5,0)</f>
        <v>0</v>
      </c>
      <c r="P5" s="57">
        <f>SUMPRODUCT((Annee_debut=$A5)*(emprunts!$H$2:$H$149&gt;1),emprunts!$G$2:$G$149)</f>
        <v>0</v>
      </c>
      <c r="Q5" s="57"/>
      <c r="R5" s="94">
        <v>2000</v>
      </c>
      <c r="S5" s="57">
        <v>0</v>
      </c>
      <c r="T5" s="57">
        <v>0</v>
      </c>
      <c r="U5" s="57">
        <v>0</v>
      </c>
      <c r="V5" s="57">
        <v>0</v>
      </c>
      <c r="W5" s="57">
        <v>0</v>
      </c>
      <c r="X5" s="57">
        <v>192522752.01377738</v>
      </c>
      <c r="Y5" s="57">
        <v>192522752.01377738</v>
      </c>
      <c r="Z5" s="57">
        <f>W5+V5</f>
        <v>0</v>
      </c>
      <c r="AA5" s="57">
        <f>T5+X5</f>
        <v>192522752.01377738</v>
      </c>
      <c r="AB5" s="57"/>
      <c r="AC5" s="57"/>
      <c r="AD5" s="57"/>
      <c r="AE5" s="94">
        <v>2000</v>
      </c>
      <c r="AF5" s="129" t="e">
        <f>IF(S5&lt;900000,#N/A,IF(B5/S5&lt;0.1%,#N/A,B5/S5))</f>
        <v>#N/A</v>
      </c>
      <c r="AG5" s="129" t="e">
        <f t="shared" ref="AG5:AG23" si="2">IF(T5&lt;2000000,#N/A,IF(C5/T5&lt;0.1%,#N/A,C5/T5))</f>
        <v>#N/A</v>
      </c>
      <c r="AH5" s="129" t="e">
        <f t="shared" ref="AH5:AH23" si="3">IF(U5&lt;2000000,#N/A,IF(D5/U5&lt;0.1%,#N/A,D5/U5))</f>
        <v>#N/A</v>
      </c>
      <c r="AI5" s="129" t="e">
        <f t="shared" ref="AI5:AI23" si="4">IF(V5&lt;2000000,#N/A,IF(E5/V5&lt;0.1%,#N/A,E5/V5))</f>
        <v>#N/A</v>
      </c>
      <c r="AJ5" s="129" t="e">
        <f t="shared" ref="AJ5:AJ23" si="5">IF(W5&lt;2000000,#N/A,IF(F5/W5&lt;0.1%,#N/A,F5/W5))</f>
        <v>#N/A</v>
      </c>
      <c r="AK5" s="129">
        <f t="shared" ref="AK5:AK23" si="6">IF(X5&lt;2000000,#N/A,IF(G5/X5&lt;0.1%,#N/A,G5/X5))</f>
        <v>4.9996231391511409E-2</v>
      </c>
      <c r="AL5" s="129">
        <f t="shared" ref="AL5:AL23" si="7">IF(Y5&lt;2000000,#N/A,IF(H5/Y5&lt;0.1%,#N/A,H5/Y5))</f>
        <v>4.9996231391511409E-2</v>
      </c>
      <c r="AM5" s="129" t="e">
        <f t="shared" ref="AM5:AM23" si="8">IF(Z5&lt;900000,#N/A,IF(I5/Z5&lt;0.1%,#N/A,I5/Z5))</f>
        <v>#N/A</v>
      </c>
      <c r="AN5" s="129">
        <f t="shared" ref="AN5:AN23" si="9">IF(AA5&lt;900000,#N/A,IF(J5/AA5&lt;0.1%,#N/A,J5/AA5))</f>
        <v>4.9996231391511409E-2</v>
      </c>
    </row>
    <row r="6" spans="1:41">
      <c r="A6" s="94">
        <v>2001</v>
      </c>
      <c r="B6" s="57">
        <v>0</v>
      </c>
      <c r="C6" s="57">
        <v>80371.933211050578</v>
      </c>
      <c r="D6" s="57">
        <v>0</v>
      </c>
      <c r="E6" s="57">
        <v>0</v>
      </c>
      <c r="F6" s="57">
        <v>0</v>
      </c>
      <c r="G6" s="57">
        <v>10069592.368458368</v>
      </c>
      <c r="H6" s="57">
        <v>10149964.301669419</v>
      </c>
      <c r="I6" s="57">
        <f t="shared" ref="I6:I23" si="10">F6+E6</f>
        <v>0</v>
      </c>
      <c r="J6" s="57">
        <f t="shared" ref="J6:J23" si="11">C6+G6</f>
        <v>10149964.301669419</v>
      </c>
      <c r="K6" s="57"/>
      <c r="L6" s="57">
        <f>SUMPRODUCT((annee_tous=$A6)*emprunts_annees!$W$2:$W$1367)</f>
        <v>0</v>
      </c>
      <c r="M6" s="132">
        <f>IF(SUM(L$5:L6)&lt;&gt;0,SUM(L$5:L6)*AN6,0)</f>
        <v>0</v>
      </c>
      <c r="N6" s="57">
        <f t="shared" si="1"/>
        <v>0</v>
      </c>
      <c r="O6" s="132">
        <f>IF(SUM(N$5:N6)&lt;&gt;0,SUM(N$5:N6)*AN6,0)</f>
        <v>0</v>
      </c>
      <c r="P6" s="57">
        <f>SUMPRODUCT((Annee_debut=$A6)*(emprunts!$H$2:$H$149&gt;1),emprunts!$G$2:$G$149)</f>
        <v>0</v>
      </c>
      <c r="Q6" s="57"/>
      <c r="R6" s="94">
        <v>2001</v>
      </c>
      <c r="S6" s="57">
        <v>0</v>
      </c>
      <c r="T6" s="57">
        <v>1922537.6779823853</v>
      </c>
      <c r="U6" s="57">
        <v>0</v>
      </c>
      <c r="V6" s="57">
        <v>0</v>
      </c>
      <c r="W6" s="57">
        <v>292412.55627035804</v>
      </c>
      <c r="X6" s="57">
        <v>182204312.60472941</v>
      </c>
      <c r="Y6" s="57">
        <v>184419262.83898216</v>
      </c>
      <c r="Z6" s="57">
        <f t="shared" ref="Z6:Z23" si="12">W6+V6</f>
        <v>292412.55627035804</v>
      </c>
      <c r="AA6" s="57">
        <f t="shared" ref="AA6:AA23" si="13">T6+X6</f>
        <v>184126850.2827118</v>
      </c>
      <c r="AB6" s="57"/>
      <c r="AC6" s="57"/>
      <c r="AD6" s="57"/>
      <c r="AE6" s="94">
        <v>2001</v>
      </c>
      <c r="AF6" s="129" t="e">
        <f t="shared" ref="AF6:AF23" si="14">IF(S6&lt;900000,#N/A,IF(B6/S6&lt;0.1%,#N/A,B6/S6))</f>
        <v>#N/A</v>
      </c>
      <c r="AG6" s="129" t="e">
        <f t="shared" si="2"/>
        <v>#N/A</v>
      </c>
      <c r="AH6" s="129" t="e">
        <f t="shared" si="3"/>
        <v>#N/A</v>
      </c>
      <c r="AI6" s="129" t="e">
        <f t="shared" si="4"/>
        <v>#N/A</v>
      </c>
      <c r="AJ6" s="129" t="e">
        <f t="shared" si="5"/>
        <v>#N/A</v>
      </c>
      <c r="AK6" s="129">
        <f t="shared" si="6"/>
        <v>5.5265389850036928E-2</v>
      </c>
      <c r="AL6" s="129">
        <f t="shared" si="7"/>
        <v>5.503744102117699E-2</v>
      </c>
      <c r="AM6" s="129" t="e">
        <f t="shared" si="8"/>
        <v>#N/A</v>
      </c>
      <c r="AN6" s="129">
        <f t="shared" si="9"/>
        <v>5.5124846192095144E-2</v>
      </c>
    </row>
    <row r="7" spans="1:41">
      <c r="A7" s="94">
        <v>2002</v>
      </c>
      <c r="B7" s="57">
        <v>0</v>
      </c>
      <c r="C7" s="57">
        <v>105637.61</v>
      </c>
      <c r="D7" s="57">
        <v>0</v>
      </c>
      <c r="E7" s="57">
        <v>0</v>
      </c>
      <c r="F7" s="57">
        <v>1050311.8400000001</v>
      </c>
      <c r="G7" s="57">
        <v>8655500.879999999</v>
      </c>
      <c r="H7" s="57">
        <v>9811450.3299999982</v>
      </c>
      <c r="I7" s="57">
        <f t="shared" si="10"/>
        <v>1050311.8400000001</v>
      </c>
      <c r="J7" s="57">
        <f t="shared" si="11"/>
        <v>8761138.4899999984</v>
      </c>
      <c r="K7" s="57">
        <f>AO7*Z7</f>
        <v>-3512153.3099253536</v>
      </c>
      <c r="L7" s="57">
        <f>SUMPRODUCT((annee_tous=$A7)*emprunts_annees!$W$2:$W$1367)</f>
        <v>0</v>
      </c>
      <c r="M7" s="132">
        <f>IF(SUM(L$5:L7)&lt;&gt;0,SUM(L$5:L7)*AN7,0)</f>
        <v>0</v>
      </c>
      <c r="N7" s="57">
        <f t="shared" si="1"/>
        <v>0</v>
      </c>
      <c r="O7" s="132">
        <f>IF(SUM(N$5:N7)&lt;&gt;0,SUM(N$5:N7)*AN7,0)</f>
        <v>0</v>
      </c>
      <c r="P7" s="57">
        <f>SUMPRODUCT((Annee_debut=$A7)*(emprunts!$H$2:$H$149&gt;1),emprunts!$G$2:$G$149)</f>
        <v>0</v>
      </c>
      <c r="Q7" s="57"/>
      <c r="R7" s="94">
        <v>2002</v>
      </c>
      <c r="S7" s="57">
        <v>5495414.0657534245</v>
      </c>
      <c r="T7" s="57">
        <v>5889851.3775342461</v>
      </c>
      <c r="U7" s="57">
        <v>0</v>
      </c>
      <c r="V7" s="57">
        <v>0</v>
      </c>
      <c r="W7" s="57">
        <v>54730431.563178085</v>
      </c>
      <c r="X7" s="57">
        <v>99207036.99000001</v>
      </c>
      <c r="Y7" s="57">
        <v>165322733.99646577</v>
      </c>
      <c r="Z7" s="57">
        <f t="shared" si="12"/>
        <v>54730431.563178085</v>
      </c>
      <c r="AA7" s="57">
        <f t="shared" si="13"/>
        <v>105096888.36753425</v>
      </c>
      <c r="AB7" s="57"/>
      <c r="AC7" s="57"/>
      <c r="AD7" s="57"/>
      <c r="AE7" s="94">
        <v>2002</v>
      </c>
      <c r="AF7" s="129" t="e">
        <f t="shared" si="14"/>
        <v>#N/A</v>
      </c>
      <c r="AG7" s="129">
        <f t="shared" si="2"/>
        <v>1.7935530666008861E-2</v>
      </c>
      <c r="AH7" s="129" t="e">
        <f t="shared" si="3"/>
        <v>#N/A</v>
      </c>
      <c r="AI7" s="129" t="e">
        <f t="shared" si="4"/>
        <v>#N/A</v>
      </c>
      <c r="AJ7" s="129">
        <f t="shared" si="5"/>
        <v>1.9190636908966677E-2</v>
      </c>
      <c r="AK7" s="129">
        <f t="shared" si="6"/>
        <v>8.7246844000314877E-2</v>
      </c>
      <c r="AL7" s="129">
        <f t="shared" si="7"/>
        <v>5.9347254263347381E-2</v>
      </c>
      <c r="AM7" s="129">
        <f t="shared" si="8"/>
        <v>1.9190636908966677E-2</v>
      </c>
      <c r="AN7" s="129">
        <f t="shared" si="9"/>
        <v>8.3362491754859838E-2</v>
      </c>
      <c r="AO7" s="129">
        <f>AM7-AN7</f>
        <v>-6.4171854845893161E-2</v>
      </c>
    </row>
    <row r="8" spans="1:41">
      <c r="A8" s="94">
        <v>2003</v>
      </c>
      <c r="B8" s="57">
        <v>322734.27999999997</v>
      </c>
      <c r="C8" s="57">
        <v>496561.91000000003</v>
      </c>
      <c r="D8" s="57">
        <v>0</v>
      </c>
      <c r="E8" s="57">
        <v>0</v>
      </c>
      <c r="F8" s="57">
        <v>3331298.4299999997</v>
      </c>
      <c r="G8" s="57">
        <v>4593568.16</v>
      </c>
      <c r="H8" s="57">
        <v>8744162.7799999993</v>
      </c>
      <c r="I8" s="57">
        <f t="shared" si="10"/>
        <v>3331298.4299999997</v>
      </c>
      <c r="J8" s="57">
        <f t="shared" si="11"/>
        <v>5090130.07</v>
      </c>
      <c r="K8" s="57">
        <f t="shared" ref="K8:K25" si="15">AO8*Z8</f>
        <v>-3955845.6020935443</v>
      </c>
      <c r="L8" s="57">
        <f>SUMPRODUCT((annee_tous=$A8)*emprunts_annees!$W$2:$W$1367)</f>
        <v>-556934.22999999858</v>
      </c>
      <c r="M8" s="132">
        <f>IF(SUM(L$5:L8)&lt;&gt;0,SUM(L$5:L8)*AN8,0)</f>
        <v>-40941.275824650831</v>
      </c>
      <c r="N8" s="57">
        <f t="shared" si="1"/>
        <v>0</v>
      </c>
      <c r="O8" s="132">
        <f>IF(SUM(N$5:N8)&lt;&gt;0,SUM(N$5:N8)*AN8,0)</f>
        <v>0</v>
      </c>
      <c r="P8" s="57">
        <f>SUMPRODUCT((Annee_debut=$A8)*(emprunts!$H$2:$H$149&gt;1),emprunts!$G$2:$G$149)</f>
        <v>0</v>
      </c>
      <c r="Q8" s="57"/>
      <c r="R8" s="94">
        <v>2003</v>
      </c>
      <c r="S8" s="57">
        <v>10902810.633534247</v>
      </c>
      <c r="T8" s="57">
        <v>9311341.2857945189</v>
      </c>
      <c r="U8" s="57">
        <v>0</v>
      </c>
      <c r="V8" s="57">
        <v>0</v>
      </c>
      <c r="W8" s="57">
        <v>99128809.951972619</v>
      </c>
      <c r="X8" s="57">
        <v>59930948.165000007</v>
      </c>
      <c r="Y8" s="57">
        <v>179273910.03630137</v>
      </c>
      <c r="Z8" s="57">
        <f t="shared" si="12"/>
        <v>99128809.951972619</v>
      </c>
      <c r="AA8" s="57">
        <f t="shared" si="13"/>
        <v>69242289.450794518</v>
      </c>
      <c r="AB8" s="57"/>
      <c r="AC8" s="57"/>
      <c r="AD8" s="57"/>
      <c r="AE8" s="94">
        <v>2003</v>
      </c>
      <c r="AF8" s="129">
        <f t="shared" si="14"/>
        <v>2.9601016733002052E-2</v>
      </c>
      <c r="AG8" s="129">
        <f t="shared" si="2"/>
        <v>5.3328719757867765E-2</v>
      </c>
      <c r="AH8" s="129" t="e">
        <f t="shared" si="3"/>
        <v>#N/A</v>
      </c>
      <c r="AI8" s="129" t="e">
        <f t="shared" si="4"/>
        <v>#N/A</v>
      </c>
      <c r="AJ8" s="129">
        <f t="shared" si="5"/>
        <v>3.3605754286912114E-2</v>
      </c>
      <c r="AK8" s="129">
        <f t="shared" si="6"/>
        <v>7.6647680382982294E-2</v>
      </c>
      <c r="AL8" s="129">
        <f t="shared" si="7"/>
        <v>4.8775434073086175E-2</v>
      </c>
      <c r="AM8" s="129">
        <f t="shared" si="8"/>
        <v>3.3605754286912114E-2</v>
      </c>
      <c r="AN8" s="129">
        <f t="shared" si="9"/>
        <v>7.3511868402577688E-2</v>
      </c>
      <c r="AO8" s="129">
        <f t="shared" ref="AO8:AO23" si="16">AM8-AN8</f>
        <v>-3.9906114115665574E-2</v>
      </c>
    </row>
    <row r="9" spans="1:41">
      <c r="A9" s="94">
        <v>2004</v>
      </c>
      <c r="B9" s="57">
        <v>456620.69999999995</v>
      </c>
      <c r="C9" s="57">
        <v>415964.95000000007</v>
      </c>
      <c r="D9" s="57">
        <v>0</v>
      </c>
      <c r="E9" s="57">
        <v>0</v>
      </c>
      <c r="F9" s="57">
        <v>3919130.8299999996</v>
      </c>
      <c r="G9" s="57">
        <v>2690375.4299999997</v>
      </c>
      <c r="H9" s="57">
        <v>7482091.9099999992</v>
      </c>
      <c r="I9" s="57">
        <f t="shared" si="10"/>
        <v>3919130.8299999996</v>
      </c>
      <c r="J9" s="57">
        <f t="shared" si="11"/>
        <v>3106340.38</v>
      </c>
      <c r="K9" s="57">
        <f t="shared" si="15"/>
        <v>-3232410.952278161</v>
      </c>
      <c r="L9" s="57">
        <f>SUMPRODUCT((annee_tous=$A9)*emprunts_annees!$W$2:$W$1367)</f>
        <v>50987.349999999627</v>
      </c>
      <c r="M9" s="132">
        <f>IF(SUM(L$5:L9)&lt;&gt;0,SUM(L$5:L9)*AN9,0)</f>
        <v>-30142.260200310004</v>
      </c>
      <c r="N9" s="57">
        <f t="shared" si="1"/>
        <v>1930000</v>
      </c>
      <c r="O9" s="132">
        <f>IF(SUM(N$5:N9)&lt;&gt;0,SUM(N$5:N9)*AN9,0)</f>
        <v>114981.56127892008</v>
      </c>
      <c r="P9" s="57">
        <f>SUMPRODUCT((Annee_debut=$A9)*(emprunts!$H$2:$H$149&gt;1),emprunts!$G$2:$G$149)</f>
        <v>0</v>
      </c>
      <c r="Q9" s="57"/>
      <c r="R9" s="94">
        <v>2004</v>
      </c>
      <c r="S9" s="57">
        <v>10624518.91</v>
      </c>
      <c r="T9" s="57">
        <v>10110954.785958905</v>
      </c>
      <c r="U9" s="57">
        <v>0</v>
      </c>
      <c r="V9" s="57">
        <v>0</v>
      </c>
      <c r="W9" s="57">
        <v>120040774.2447945</v>
      </c>
      <c r="X9" s="57">
        <v>42029900.379999995</v>
      </c>
      <c r="Y9" s="57">
        <v>182806148.3207534</v>
      </c>
      <c r="Z9" s="57">
        <f t="shared" si="12"/>
        <v>120040774.2447945</v>
      </c>
      <c r="AA9" s="57">
        <f t="shared" si="13"/>
        <v>52140855.165958896</v>
      </c>
      <c r="AB9" s="57"/>
      <c r="AC9" s="57"/>
      <c r="AD9" s="57"/>
      <c r="AE9" s="94">
        <v>2004</v>
      </c>
      <c r="AF9" s="129">
        <f t="shared" si="14"/>
        <v>4.2978011886281253E-2</v>
      </c>
      <c r="AG9" s="129">
        <f t="shared" si="2"/>
        <v>4.1140026714158694E-2</v>
      </c>
      <c r="AH9" s="129" t="e">
        <f t="shared" si="3"/>
        <v>#N/A</v>
      </c>
      <c r="AI9" s="129" t="e">
        <f t="shared" si="4"/>
        <v>#N/A</v>
      </c>
      <c r="AJ9" s="129">
        <f t="shared" si="5"/>
        <v>3.2648330158283285E-2</v>
      </c>
      <c r="AK9" s="129">
        <f t="shared" si="6"/>
        <v>6.4010987551143941E-2</v>
      </c>
      <c r="AL9" s="129">
        <f t="shared" si="7"/>
        <v>4.0929104292881061E-2</v>
      </c>
      <c r="AM9" s="129">
        <f t="shared" si="8"/>
        <v>3.2648330158283285E-2</v>
      </c>
      <c r="AN9" s="129">
        <f t="shared" si="9"/>
        <v>5.9575938486487089E-2</v>
      </c>
      <c r="AO9" s="129">
        <f t="shared" si="16"/>
        <v>-2.6927608328203803E-2</v>
      </c>
    </row>
    <row r="10" spans="1:41">
      <c r="A10" s="94">
        <v>2005</v>
      </c>
      <c r="B10" s="57">
        <v>373025.14</v>
      </c>
      <c r="C10" s="57">
        <v>352984.72000000003</v>
      </c>
      <c r="D10" s="57">
        <v>0</v>
      </c>
      <c r="E10" s="57">
        <v>0</v>
      </c>
      <c r="F10" s="57">
        <v>4776810.78</v>
      </c>
      <c r="G10" s="57">
        <v>1905329.6500000006</v>
      </c>
      <c r="H10" s="57">
        <v>7408150.290000001</v>
      </c>
      <c r="I10" s="57">
        <f t="shared" si="10"/>
        <v>4776810.78</v>
      </c>
      <c r="J10" s="57">
        <f t="shared" si="11"/>
        <v>2258314.3700000006</v>
      </c>
      <c r="K10" s="57">
        <f t="shared" si="15"/>
        <v>-4949323.8167044744</v>
      </c>
      <c r="L10" s="57">
        <f>SUMPRODUCT((annee_tous=$A10)*emprunts_annees!$W$2:$W$1367)</f>
        <v>507557.14999999991</v>
      </c>
      <c r="M10" s="132">
        <f>IF(SUM(L$5:L10)&lt;&gt;0,SUM(L$5:L10)*AN10,0)</f>
        <v>110.15769535780539</v>
      </c>
      <c r="N10" s="57">
        <f t="shared" si="1"/>
        <v>0</v>
      </c>
      <c r="O10" s="132">
        <f>IF(SUM(N$5:N10)&lt;&gt;0,SUM(N$5:N10)*AN10,0)</f>
        <v>132030.25085261415</v>
      </c>
      <c r="P10" s="57">
        <f>SUMPRODUCT((Annee_debut=$A10)*(emprunts!$H$2:$H$149&gt;1),emprunts!$G$2:$G$149)</f>
        <v>0</v>
      </c>
      <c r="Q10" s="57"/>
      <c r="R10" s="94">
        <v>2005</v>
      </c>
      <c r="S10" s="57">
        <v>8077903.3578082193</v>
      </c>
      <c r="T10" s="57">
        <v>12366907.494246576</v>
      </c>
      <c r="U10" s="57">
        <v>0</v>
      </c>
      <c r="V10" s="57">
        <v>0</v>
      </c>
      <c r="W10" s="57">
        <v>142175294.30126026</v>
      </c>
      <c r="X10" s="57">
        <v>20644820.544999994</v>
      </c>
      <c r="Y10" s="57">
        <v>183264925.69831505</v>
      </c>
      <c r="Z10" s="57">
        <f t="shared" si="12"/>
        <v>142175294.30126026</v>
      </c>
      <c r="AA10" s="57">
        <f t="shared" si="13"/>
        <v>33011728.03924657</v>
      </c>
      <c r="AB10" s="57"/>
      <c r="AC10" s="57"/>
      <c r="AD10" s="57"/>
      <c r="AE10" s="94">
        <v>2005</v>
      </c>
      <c r="AF10" s="129">
        <f t="shared" si="14"/>
        <v>4.6178460359943337E-2</v>
      </c>
      <c r="AG10" s="129">
        <f t="shared" si="2"/>
        <v>2.8542682975854571E-2</v>
      </c>
      <c r="AH10" s="129" t="e">
        <f t="shared" si="3"/>
        <v>#N/A</v>
      </c>
      <c r="AI10" s="129" t="e">
        <f t="shared" si="4"/>
        <v>#N/A</v>
      </c>
      <c r="AJ10" s="129">
        <f t="shared" si="5"/>
        <v>3.3598036870444221E-2</v>
      </c>
      <c r="AK10" s="129">
        <f t="shared" si="6"/>
        <v>9.2290928169945066E-2</v>
      </c>
      <c r="AL10" s="129">
        <f t="shared" si="7"/>
        <v>4.0423175693722564E-2</v>
      </c>
      <c r="AM10" s="129">
        <f t="shared" si="8"/>
        <v>3.3598036870444221E-2</v>
      </c>
      <c r="AN10" s="129">
        <f t="shared" si="9"/>
        <v>6.8409456400318217E-2</v>
      </c>
      <c r="AO10" s="129">
        <f t="shared" si="16"/>
        <v>-3.4811419529873995E-2</v>
      </c>
    </row>
    <row r="11" spans="1:41">
      <c r="A11" s="94">
        <v>2006</v>
      </c>
      <c r="B11" s="57">
        <v>176311.09999999998</v>
      </c>
      <c r="C11" s="57">
        <v>391549.46</v>
      </c>
      <c r="D11" s="57">
        <v>0</v>
      </c>
      <c r="E11" s="57">
        <v>0</v>
      </c>
      <c r="F11" s="57">
        <v>4580736.41</v>
      </c>
      <c r="G11" s="57">
        <v>757340.54999999993</v>
      </c>
      <c r="H11" s="57">
        <v>5905937.5200000005</v>
      </c>
      <c r="I11" s="57">
        <f t="shared" si="10"/>
        <v>4580736.41</v>
      </c>
      <c r="J11" s="57">
        <f t="shared" si="11"/>
        <v>1148890.01</v>
      </c>
      <c r="K11" s="57">
        <f t="shared" si="15"/>
        <v>-1086050.5544920336</v>
      </c>
      <c r="L11" s="57">
        <f>SUMPRODUCT((annee_tous=$A11)*emprunts_annees!$W$2:$W$1367)</f>
        <v>1191295.9100000001</v>
      </c>
      <c r="M11" s="132">
        <f>IF(SUM(L$5:L11)&lt;&gt;0,SUM(L$5:L11)*AN11,0)</f>
        <v>45816.479705475685</v>
      </c>
      <c r="N11" s="57">
        <f t="shared" si="1"/>
        <v>0</v>
      </c>
      <c r="O11" s="132">
        <f>IF(SUM(N$5:N11)&lt;&gt;0,SUM(N$5:N11)*AN11,0)</f>
        <v>74126.370802746605</v>
      </c>
      <c r="P11" s="57">
        <f>SUMPRODUCT((Annee_debut=$A11)*(emprunts!$H$2:$H$149&gt;1),emprunts!$G$2:$G$149)</f>
        <v>0</v>
      </c>
      <c r="Q11" s="57"/>
      <c r="R11" s="94">
        <v>2006</v>
      </c>
      <c r="S11" s="57">
        <v>5617182.2606027396</v>
      </c>
      <c r="T11" s="57">
        <v>20667665.839465756</v>
      </c>
      <c r="U11" s="57">
        <v>0</v>
      </c>
      <c r="V11" s="57">
        <v>0</v>
      </c>
      <c r="W11" s="57">
        <v>147543967.45758906</v>
      </c>
      <c r="X11" s="57">
        <v>9245544.4699999839</v>
      </c>
      <c r="Y11" s="57">
        <v>183074360.02765751</v>
      </c>
      <c r="Z11" s="57">
        <f t="shared" si="12"/>
        <v>147543967.45758906</v>
      </c>
      <c r="AA11" s="57">
        <f t="shared" si="13"/>
        <v>29913210.30946574</v>
      </c>
      <c r="AB11" s="57"/>
      <c r="AC11" s="57"/>
      <c r="AD11" s="57"/>
      <c r="AE11" s="94">
        <v>2006</v>
      </c>
      <c r="AF11" s="129">
        <f t="shared" si="14"/>
        <v>3.1387818984723717E-2</v>
      </c>
      <c r="AG11" s="129">
        <f t="shared" si="2"/>
        <v>1.8945025676403198E-2</v>
      </c>
      <c r="AH11" s="129" t="e">
        <f t="shared" si="3"/>
        <v>#N/A</v>
      </c>
      <c r="AI11" s="129" t="e">
        <f t="shared" si="4"/>
        <v>#N/A</v>
      </c>
      <c r="AJ11" s="129">
        <f t="shared" si="5"/>
        <v>3.1046585563159097E-2</v>
      </c>
      <c r="AK11" s="129">
        <f t="shared" si="6"/>
        <v>8.1914110354173786E-2</v>
      </c>
      <c r="AL11" s="129">
        <f t="shared" si="7"/>
        <v>3.2259774220200883E-2</v>
      </c>
      <c r="AM11" s="129">
        <f t="shared" si="8"/>
        <v>3.1046585563159097E-2</v>
      </c>
      <c r="AN11" s="129">
        <f t="shared" si="9"/>
        <v>3.8407446011785806E-2</v>
      </c>
      <c r="AO11" s="129">
        <f t="shared" si="16"/>
        <v>-7.360860448626709E-3</v>
      </c>
    </row>
    <row r="12" spans="1:41">
      <c r="A12" s="94">
        <v>2007</v>
      </c>
      <c r="B12" s="57">
        <v>160245.45000000001</v>
      </c>
      <c r="C12" s="57">
        <v>852376.3</v>
      </c>
      <c r="D12" s="57">
        <v>0</v>
      </c>
      <c r="E12" s="57">
        <v>0</v>
      </c>
      <c r="F12" s="57">
        <v>5990927.9500000002</v>
      </c>
      <c r="G12" s="57">
        <v>369205.99999999639</v>
      </c>
      <c r="H12" s="57">
        <v>7372755.6999999965</v>
      </c>
      <c r="I12" s="57">
        <f t="shared" si="10"/>
        <v>5990927.9500000002</v>
      </c>
      <c r="J12" s="57">
        <f t="shared" si="11"/>
        <v>1221582.2999999966</v>
      </c>
      <c r="K12" s="57">
        <f t="shared" si="15"/>
        <v>-1267477.8154743253</v>
      </c>
      <c r="L12" s="57">
        <f>SUMPRODUCT((annee_tous=$A12)*emprunts_annees!$W$2:$W$1367)</f>
        <v>1979018.42</v>
      </c>
      <c r="M12" s="132">
        <f>IF(SUM(L$5:L12)&lt;&gt;0,SUM(L$5:L12)*AN12,0)</f>
        <v>127193.92794069259</v>
      </c>
      <c r="N12" s="57">
        <f t="shared" si="1"/>
        <v>0</v>
      </c>
      <c r="O12" s="132">
        <f>IF(SUM(N$5:N12)&lt;&gt;0,SUM(N$5:N12)*AN12,0)</f>
        <v>77392.848785099311</v>
      </c>
      <c r="P12" s="57">
        <f>SUMPRODUCT((Annee_debut=$A12)*(emprunts!$H$2:$H$149&gt;1),emprunts!$G$2:$G$149)</f>
        <v>0</v>
      </c>
      <c r="Q12" s="57"/>
      <c r="R12" s="94">
        <v>2007</v>
      </c>
      <c r="S12" s="57">
        <v>3589185.6797808222</v>
      </c>
      <c r="T12" s="57">
        <v>27910070.473753426</v>
      </c>
      <c r="U12" s="57">
        <v>0</v>
      </c>
      <c r="V12" s="57">
        <v>0</v>
      </c>
      <c r="W12" s="57">
        <v>181007978.73798633</v>
      </c>
      <c r="X12" s="57">
        <v>2553388.0499999975</v>
      </c>
      <c r="Y12" s="57">
        <v>215060622.94152057</v>
      </c>
      <c r="Z12" s="57">
        <f t="shared" si="12"/>
        <v>181007978.73798633</v>
      </c>
      <c r="AA12" s="57">
        <f t="shared" si="13"/>
        <v>30463458.523753423</v>
      </c>
      <c r="AB12" s="57"/>
      <c r="AC12" s="57"/>
      <c r="AD12" s="57"/>
      <c r="AE12" s="94">
        <v>2007</v>
      </c>
      <c r="AF12" s="129">
        <f t="shared" si="14"/>
        <v>4.4646742826017737E-2</v>
      </c>
      <c r="AG12" s="129">
        <f t="shared" si="2"/>
        <v>3.0540098449467298E-2</v>
      </c>
      <c r="AH12" s="129" t="e">
        <f t="shared" si="3"/>
        <v>#N/A</v>
      </c>
      <c r="AI12" s="129" t="e">
        <f t="shared" si="4"/>
        <v>#N/A</v>
      </c>
      <c r="AJ12" s="129">
        <f t="shared" si="5"/>
        <v>3.3097590458551117E-2</v>
      </c>
      <c r="AK12" s="129">
        <f t="shared" si="6"/>
        <v>0.14459455154103848</v>
      </c>
      <c r="AL12" s="129">
        <f t="shared" si="7"/>
        <v>3.4282220516048637E-2</v>
      </c>
      <c r="AM12" s="129">
        <f t="shared" si="8"/>
        <v>3.3097590458551117E-2</v>
      </c>
      <c r="AN12" s="129">
        <f t="shared" si="9"/>
        <v>4.0099921650310524E-2</v>
      </c>
      <c r="AO12" s="129">
        <f t="shared" si="16"/>
        <v>-7.0023311917594075E-3</v>
      </c>
    </row>
    <row r="13" spans="1:41">
      <c r="A13" s="94">
        <v>2008</v>
      </c>
      <c r="B13" s="57">
        <v>46731.76</v>
      </c>
      <c r="C13" s="57">
        <v>537475.30000000005</v>
      </c>
      <c r="D13" s="57">
        <v>0</v>
      </c>
      <c r="E13" s="57">
        <v>0</v>
      </c>
      <c r="F13" s="57">
        <v>5952077.2700000014</v>
      </c>
      <c r="G13" s="57">
        <v>54850.430000000022</v>
      </c>
      <c r="H13" s="57">
        <v>6591134.7600000016</v>
      </c>
      <c r="I13" s="57">
        <f t="shared" si="10"/>
        <v>5952077.2700000014</v>
      </c>
      <c r="J13" s="57">
        <f t="shared" si="11"/>
        <v>592325.7300000001</v>
      </c>
      <c r="K13" s="57">
        <f t="shared" si="15"/>
        <v>-3156330.639164235</v>
      </c>
      <c r="L13" s="57">
        <f>SUMPRODUCT((annee_tous=$A13)*emprunts_annees!$W$2:$W$1367)</f>
        <v>0</v>
      </c>
      <c r="M13" s="132">
        <f>IF(SUM(L$5:L13)&lt;&gt;0,SUM(L$5:L13)*AN13,0)</f>
        <v>135941.22501162402</v>
      </c>
      <c r="N13" s="57">
        <f t="shared" si="1"/>
        <v>0</v>
      </c>
      <c r="O13" s="132">
        <f>IF(SUM(N$5:N13)&lt;&gt;0,SUM(N$5:N13)*AN13,0)</f>
        <v>82715.258828168327</v>
      </c>
      <c r="P13" s="57">
        <f>SUMPRODUCT((Annee_debut=$A13)*(emprunts!$H$2:$H$149&gt;1),emprunts!$G$2:$G$149)</f>
        <v>0</v>
      </c>
      <c r="Q13" s="57"/>
      <c r="R13" s="94">
        <v>2008</v>
      </c>
      <c r="S13" s="57">
        <v>1652810.14</v>
      </c>
      <c r="T13" s="57">
        <v>13114664.856917808</v>
      </c>
      <c r="U13" s="57">
        <v>0</v>
      </c>
      <c r="V13" s="57">
        <v>0</v>
      </c>
      <c r="W13" s="57">
        <v>212527017.55072603</v>
      </c>
      <c r="X13" s="57">
        <v>706106.24499999406</v>
      </c>
      <c r="Y13" s="57">
        <v>228000598.79264385</v>
      </c>
      <c r="Z13" s="57">
        <f t="shared" si="12"/>
        <v>212527017.55072603</v>
      </c>
      <c r="AA13" s="57">
        <f t="shared" si="13"/>
        <v>13820771.101917801</v>
      </c>
      <c r="AB13" s="57"/>
      <c r="AC13" s="57"/>
      <c r="AD13" s="57"/>
      <c r="AE13" s="94">
        <v>2008</v>
      </c>
      <c r="AF13" s="129">
        <f t="shared" si="14"/>
        <v>2.827412469771029E-2</v>
      </c>
      <c r="AG13" s="129">
        <f t="shared" si="2"/>
        <v>4.0982770498819807E-2</v>
      </c>
      <c r="AH13" s="129" t="e">
        <f t="shared" si="3"/>
        <v>#N/A</v>
      </c>
      <c r="AI13" s="129" t="e">
        <f t="shared" si="4"/>
        <v>#N/A</v>
      </c>
      <c r="AJ13" s="129">
        <f t="shared" si="5"/>
        <v>2.8006214638472294E-2</v>
      </c>
      <c r="AK13" s="129" t="e">
        <f t="shared" si="6"/>
        <v>#N/A</v>
      </c>
      <c r="AL13" s="129">
        <f t="shared" si="7"/>
        <v>2.8908409867793104E-2</v>
      </c>
      <c r="AM13" s="129">
        <f t="shared" si="8"/>
        <v>2.8006214638472294E-2</v>
      </c>
      <c r="AN13" s="129">
        <f t="shared" si="9"/>
        <v>4.2857647061227112E-2</v>
      </c>
      <c r="AO13" s="129">
        <f t="shared" si="16"/>
        <v>-1.4851432422754818E-2</v>
      </c>
    </row>
    <row r="14" spans="1:41">
      <c r="A14" s="94">
        <v>2009</v>
      </c>
      <c r="B14" s="57">
        <v>56219.89</v>
      </c>
      <c r="C14" s="57">
        <v>554397.88</v>
      </c>
      <c r="D14" s="57">
        <v>0</v>
      </c>
      <c r="E14" s="57">
        <v>0</v>
      </c>
      <c r="F14" s="57">
        <v>5545266.4700000016</v>
      </c>
      <c r="G14" s="57"/>
      <c r="H14" s="57">
        <v>6155884.2400000021</v>
      </c>
      <c r="I14" s="57">
        <f t="shared" si="10"/>
        <v>5545266.4700000016</v>
      </c>
      <c r="J14" s="57">
        <f t="shared" si="11"/>
        <v>554397.88</v>
      </c>
      <c r="K14" s="57">
        <f t="shared" si="15"/>
        <v>-1923590.2671100893</v>
      </c>
      <c r="L14" s="57">
        <f>SUMPRODUCT((annee_tous=$A14)*emprunts_annees!$W$2:$W$1367)</f>
        <v>0</v>
      </c>
      <c r="M14" s="132">
        <f>IF(SUM(L$5:L14)&lt;&gt;0,SUM(L$5:L14)*AN14,0)</f>
        <v>122275.10225907159</v>
      </c>
      <c r="N14" s="57">
        <f t="shared" si="1"/>
        <v>0</v>
      </c>
      <c r="O14" s="132">
        <f>IF(SUM(N$5:N14)&lt;&gt;0,SUM(N$5:N14)*AN14,0)</f>
        <v>74399.923428195005</v>
      </c>
      <c r="P14" s="57">
        <f>SUMPRODUCT((Annee_debut=$A14)*(emprunts!$H$2:$H$149&gt;1),emprunts!$G$2:$G$149)</f>
        <v>0</v>
      </c>
      <c r="Q14" s="57"/>
      <c r="R14" s="94">
        <v>2009</v>
      </c>
      <c r="S14" s="57">
        <v>1558666.3047123288</v>
      </c>
      <c r="T14" s="57">
        <v>14381572.709986303</v>
      </c>
      <c r="U14" s="57">
        <v>0</v>
      </c>
      <c r="V14" s="57">
        <v>438777.07397260272</v>
      </c>
      <c r="W14" s="57">
        <v>193309990.91413701</v>
      </c>
      <c r="X14" s="57"/>
      <c r="Y14" s="57">
        <v>209689007.00280824</v>
      </c>
      <c r="Z14" s="57">
        <f t="shared" si="12"/>
        <v>193748767.98810962</v>
      </c>
      <c r="AA14" s="57">
        <f t="shared" si="13"/>
        <v>14381572.709986303</v>
      </c>
      <c r="AB14" s="57"/>
      <c r="AC14" s="57"/>
      <c r="AD14" s="57"/>
      <c r="AE14" s="94">
        <v>2009</v>
      </c>
      <c r="AF14" s="129">
        <f t="shared" si="14"/>
        <v>3.6069227794320015E-2</v>
      </c>
      <c r="AG14" s="129">
        <f t="shared" si="2"/>
        <v>3.8549183123417104E-2</v>
      </c>
      <c r="AH14" s="129" t="e">
        <f t="shared" si="3"/>
        <v>#N/A</v>
      </c>
      <c r="AI14" s="129" t="e">
        <f t="shared" si="4"/>
        <v>#N/A</v>
      </c>
      <c r="AJ14" s="129">
        <f t="shared" si="5"/>
        <v>2.8685876212487419E-2</v>
      </c>
      <c r="AK14" s="129" t="e">
        <f t="shared" si="6"/>
        <v>#N/A</v>
      </c>
      <c r="AL14" s="129">
        <f t="shared" si="7"/>
        <v>2.9357210127460617E-2</v>
      </c>
      <c r="AM14" s="129">
        <f t="shared" si="8"/>
        <v>2.8620912161569541E-2</v>
      </c>
      <c r="AN14" s="129">
        <f t="shared" si="9"/>
        <v>3.8549183123417104E-2</v>
      </c>
      <c r="AO14" s="129">
        <f t="shared" si="16"/>
        <v>-9.9282709618475629E-3</v>
      </c>
    </row>
    <row r="15" spans="1:41">
      <c r="A15" s="94">
        <v>2010</v>
      </c>
      <c r="B15" s="57">
        <v>37990.35</v>
      </c>
      <c r="C15" s="57">
        <v>584941.78173044149</v>
      </c>
      <c r="D15" s="57">
        <v>0</v>
      </c>
      <c r="E15" s="57">
        <v>231589.29</v>
      </c>
      <c r="F15" s="57">
        <v>5351863.5600000005</v>
      </c>
      <c r="G15" s="57">
        <v>-50466.57173044153</v>
      </c>
      <c r="H15" s="57">
        <v>6155918.4100000011</v>
      </c>
      <c r="I15" s="57">
        <f t="shared" si="10"/>
        <v>5583452.8500000006</v>
      </c>
      <c r="J15" s="57">
        <f t="shared" si="11"/>
        <v>534475.21</v>
      </c>
      <c r="K15" s="57">
        <f t="shared" si="15"/>
        <v>2126648.3616153006</v>
      </c>
      <c r="L15" s="57">
        <f>SUMPRODUCT((annee_tous=$A15)*emprunts_annees!$W$2:$W$1367)</f>
        <v>0</v>
      </c>
      <c r="M15" s="132">
        <f>IF(SUM(L$5:L15)&lt;&gt;0,SUM(L$5:L15)*AN15,0)</f>
        <v>59340.029046180171</v>
      </c>
      <c r="N15" s="57">
        <f t="shared" si="1"/>
        <v>0</v>
      </c>
      <c r="O15" s="132">
        <f>IF(SUM(N$5:N15)&lt;&gt;0,SUM(N$5:N15)*AN15,0)</f>
        <v>36106.235330791817</v>
      </c>
      <c r="P15" s="57">
        <f>SUMPRODUCT((Annee_debut=$A15)*(emprunts!$H$2:$H$149&gt;1),emprunts!$G$2:$G$149)</f>
        <v>0</v>
      </c>
      <c r="Q15" s="57"/>
      <c r="R15" s="94">
        <v>2010</v>
      </c>
      <c r="S15" s="57">
        <v>1465404.099561644</v>
      </c>
      <c r="T15" s="57">
        <v>28569500.720712326</v>
      </c>
      <c r="U15" s="57">
        <v>0</v>
      </c>
      <c r="V15" s="57">
        <v>5147167.687671233</v>
      </c>
      <c r="W15" s="57">
        <v>179630685.81767124</v>
      </c>
      <c r="X15" s="57">
        <v>1.0800000003073364</v>
      </c>
      <c r="Y15" s="57">
        <v>214812759.40561646</v>
      </c>
      <c r="Z15" s="57">
        <f t="shared" si="12"/>
        <v>184777853.50534248</v>
      </c>
      <c r="AA15" s="57">
        <f t="shared" si="13"/>
        <v>28569501.800712328</v>
      </c>
      <c r="AB15" s="57"/>
      <c r="AC15" s="57"/>
      <c r="AD15" s="57"/>
      <c r="AE15" s="94">
        <v>2010</v>
      </c>
      <c r="AF15" s="129">
        <f t="shared" si="14"/>
        <v>2.5924828524339669E-2</v>
      </c>
      <c r="AG15" s="129">
        <f t="shared" si="2"/>
        <v>2.0474343862312238E-2</v>
      </c>
      <c r="AH15" s="129" t="e">
        <f t="shared" si="3"/>
        <v>#N/A</v>
      </c>
      <c r="AI15" s="129">
        <f t="shared" si="4"/>
        <v>4.4993538981586874E-2</v>
      </c>
      <c r="AJ15" s="129">
        <f t="shared" si="5"/>
        <v>2.9793704431058343E-2</v>
      </c>
      <c r="AK15" s="129" t="e">
        <f t="shared" si="6"/>
        <v>#N/A</v>
      </c>
      <c r="AL15" s="129">
        <f t="shared" si="7"/>
        <v>2.8657135763412427E-2</v>
      </c>
      <c r="AM15" s="129">
        <f t="shared" si="8"/>
        <v>3.0217110676840752E-2</v>
      </c>
      <c r="AN15" s="129">
        <f t="shared" si="9"/>
        <v>1.8707893953778143E-2</v>
      </c>
      <c r="AO15" s="129">
        <f t="shared" si="16"/>
        <v>1.1509216723062609E-2</v>
      </c>
    </row>
    <row r="16" spans="1:41">
      <c r="A16" s="94">
        <v>2011</v>
      </c>
      <c r="B16" s="57">
        <v>17740.57</v>
      </c>
      <c r="C16" s="57">
        <v>828762.23</v>
      </c>
      <c r="D16" s="57">
        <v>0</v>
      </c>
      <c r="E16" s="57">
        <v>391585.2</v>
      </c>
      <c r="F16" s="57">
        <v>5949494.6999999993</v>
      </c>
      <c r="G16" s="57">
        <v>0</v>
      </c>
      <c r="H16" s="57">
        <v>7187582.6999999993</v>
      </c>
      <c r="I16" s="57">
        <f t="shared" si="10"/>
        <v>6341079.8999999994</v>
      </c>
      <c r="J16" s="57">
        <f t="shared" si="11"/>
        <v>828762.23</v>
      </c>
      <c r="K16" s="57">
        <f t="shared" si="15"/>
        <v>2394023.718803152</v>
      </c>
      <c r="L16" s="57">
        <f>SUMPRODUCT((annee_tous=$A16)*emprunts_annees!$W$2:$W$1367)</f>
        <v>0</v>
      </c>
      <c r="M16" s="132">
        <f>IF(SUM(L$5:L16)&lt;&gt;0,SUM(L$5:L16)*AN16,0)</f>
        <v>71121.387748588822</v>
      </c>
      <c r="N16" s="57">
        <f t="shared" si="1"/>
        <v>0</v>
      </c>
      <c r="O16" s="132">
        <f>IF(SUM(N$5:N16)&lt;&gt;0,SUM(N$5:N16)*AN16,0)</f>
        <v>43274.760804458077</v>
      </c>
      <c r="P16" s="57">
        <f>SUMPRODUCT((Annee_debut=$A16)*(emprunts!$H$2:$H$149&gt;1),emprunts!$G$2:$G$149)</f>
        <v>0</v>
      </c>
      <c r="Q16" s="57"/>
      <c r="R16" s="94">
        <v>2011</v>
      </c>
      <c r="S16" s="57">
        <v>1360329.9099178084</v>
      </c>
      <c r="T16" s="57">
        <v>36961754.939041086</v>
      </c>
      <c r="U16" s="57">
        <v>0</v>
      </c>
      <c r="V16" s="57">
        <v>8424799.5363287665</v>
      </c>
      <c r="W16" s="57">
        <v>167608950.57801372</v>
      </c>
      <c r="X16" s="57">
        <v>0</v>
      </c>
      <c r="Y16" s="57">
        <v>214355834.96330136</v>
      </c>
      <c r="Z16" s="57">
        <f t="shared" si="12"/>
        <v>176033750.11434248</v>
      </c>
      <c r="AA16" s="57">
        <f t="shared" si="13"/>
        <v>36961754.939041086</v>
      </c>
      <c r="AB16" s="57"/>
      <c r="AC16" s="57"/>
      <c r="AD16" s="57"/>
      <c r="AE16" s="94">
        <v>2011</v>
      </c>
      <c r="AF16" s="129">
        <f t="shared" si="14"/>
        <v>1.3041373177681502E-2</v>
      </c>
      <c r="AG16" s="129">
        <f t="shared" si="2"/>
        <v>2.2422155857232166E-2</v>
      </c>
      <c r="AH16" s="129" t="e">
        <f t="shared" si="3"/>
        <v>#N/A</v>
      </c>
      <c r="AI16" s="129">
        <f t="shared" si="4"/>
        <v>4.6480061431899561E-2</v>
      </c>
      <c r="AJ16" s="129">
        <f t="shared" si="5"/>
        <v>3.549628274315101E-2</v>
      </c>
      <c r="AK16" s="129" t="e">
        <f t="shared" si="6"/>
        <v>#N/A</v>
      </c>
      <c r="AL16" s="129">
        <f t="shared" si="7"/>
        <v>3.3531080230358758E-2</v>
      </c>
      <c r="AM16" s="129">
        <f t="shared" si="8"/>
        <v>3.6021955425486078E-2</v>
      </c>
      <c r="AN16" s="129">
        <f t="shared" si="9"/>
        <v>2.2422155857232166E-2</v>
      </c>
      <c r="AO16" s="129">
        <f t="shared" si="16"/>
        <v>1.3599799568253912E-2</v>
      </c>
    </row>
    <row r="17" spans="1:41">
      <c r="A17" s="94">
        <v>2012</v>
      </c>
      <c r="B17" s="57">
        <v>27029.84</v>
      </c>
      <c r="C17" s="57">
        <v>1129857.54</v>
      </c>
      <c r="D17" s="57">
        <v>0</v>
      </c>
      <c r="E17" s="57">
        <v>794877.52</v>
      </c>
      <c r="F17" s="57">
        <v>10853915.07</v>
      </c>
      <c r="G17" s="57">
        <v>0</v>
      </c>
      <c r="H17" s="57">
        <v>12805679.970000001</v>
      </c>
      <c r="I17" s="57">
        <f t="shared" si="10"/>
        <v>11648792.59</v>
      </c>
      <c r="J17" s="57">
        <f t="shared" si="11"/>
        <v>1129857.54</v>
      </c>
      <c r="K17" s="57">
        <f t="shared" si="15"/>
        <v>7970566.4330728306</v>
      </c>
      <c r="L17" s="57">
        <f>SUMPRODUCT((annee_tous=$A17)*emprunts_annees!$W$2:$W$1367)</f>
        <v>0</v>
      </c>
      <c r="M17" s="132">
        <f>IF(SUM(L$5:L17)&lt;&gt;0,SUM(L$5:L17)*AN17,0)</f>
        <v>64164.772455822953</v>
      </c>
      <c r="N17" s="57">
        <f t="shared" si="1"/>
        <v>4400000</v>
      </c>
      <c r="O17" s="132">
        <f>IF(SUM(N$5:N17)&lt;&gt;0,SUM(N$5:N17)*AN17,0)</f>
        <v>128049.3898390142</v>
      </c>
      <c r="P17" s="57">
        <f>SUMPRODUCT((Annee_debut=$A17)*(emprunts!$H$2:$H$149&gt;1),emprunts!$G$2:$G$149)</f>
        <v>0</v>
      </c>
      <c r="Q17" s="57"/>
      <c r="R17" s="94">
        <v>2012</v>
      </c>
      <c r="S17" s="57">
        <v>1255255.53</v>
      </c>
      <c r="T17" s="57">
        <v>55853434.656671233</v>
      </c>
      <c r="U17" s="57">
        <v>0</v>
      </c>
      <c r="V17" s="57">
        <v>8822125.3436301369</v>
      </c>
      <c r="W17" s="57">
        <v>173007492.13928771</v>
      </c>
      <c r="X17" s="57">
        <v>0</v>
      </c>
      <c r="Y17" s="57">
        <v>238938307.66958907</v>
      </c>
      <c r="Z17" s="57">
        <f t="shared" si="12"/>
        <v>181829617.48291785</v>
      </c>
      <c r="AA17" s="57">
        <f t="shared" si="13"/>
        <v>55853434.656671233</v>
      </c>
      <c r="AB17" s="57"/>
      <c r="AC17" s="57"/>
      <c r="AD17" s="57"/>
      <c r="AE17" s="94">
        <v>2012</v>
      </c>
      <c r="AF17" s="129">
        <f t="shared" si="14"/>
        <v>2.1533336722284746E-2</v>
      </c>
      <c r="AG17" s="129">
        <f t="shared" si="2"/>
        <v>2.0228971538548846E-2</v>
      </c>
      <c r="AH17" s="129" t="e">
        <f t="shared" si="3"/>
        <v>#N/A</v>
      </c>
      <c r="AI17" s="129">
        <f t="shared" si="4"/>
        <v>9.0100456413706204E-2</v>
      </c>
      <c r="AJ17" s="129">
        <f t="shared" si="5"/>
        <v>6.2736676520699766E-2</v>
      </c>
      <c r="AK17" s="129" t="e">
        <f t="shared" si="6"/>
        <v>#N/A</v>
      </c>
      <c r="AL17" s="129">
        <f t="shared" si="7"/>
        <v>5.3594084995814369E-2</v>
      </c>
      <c r="AM17" s="129">
        <f t="shared" si="8"/>
        <v>6.4064329844912948E-2</v>
      </c>
      <c r="AN17" s="129">
        <f t="shared" si="9"/>
        <v>2.0228971538548846E-2</v>
      </c>
      <c r="AO17" s="129">
        <f t="shared" si="16"/>
        <v>4.3835358306364106E-2</v>
      </c>
    </row>
    <row r="18" spans="1:41">
      <c r="A18" s="94">
        <v>2013</v>
      </c>
      <c r="B18" s="57">
        <v>27029.84</v>
      </c>
      <c r="C18" s="57">
        <v>1383943.6800000002</v>
      </c>
      <c r="D18" s="57">
        <v>0</v>
      </c>
      <c r="E18" s="57">
        <v>930236.93</v>
      </c>
      <c r="F18" s="57">
        <v>5886562.0700000003</v>
      </c>
      <c r="G18" s="57">
        <v>0</v>
      </c>
      <c r="H18" s="57">
        <v>8227772.5200000005</v>
      </c>
      <c r="I18" s="57">
        <f t="shared" si="10"/>
        <v>6816799</v>
      </c>
      <c r="J18" s="57">
        <f t="shared" si="11"/>
        <v>1383943.6800000002</v>
      </c>
      <c r="K18" s="57">
        <f t="shared" si="15"/>
        <v>3097579.4564341456</v>
      </c>
      <c r="L18" s="57">
        <f>SUMPRODUCT((annee_tous=$A18)*emprunts_annees!$W$2:$W$1367)</f>
        <v>0</v>
      </c>
      <c r="M18" s="132">
        <f>IF(SUM(L$5:L18)&lt;&gt;0,SUM(L$5:L18)*AN18,0)</f>
        <v>65677.955201882971</v>
      </c>
      <c r="N18" s="57">
        <f t="shared" si="1"/>
        <v>2950000</v>
      </c>
      <c r="O18" s="132">
        <f>IF(SUM(N$5:N18)&lt;&gt;0,SUM(N$5:N18)*AN18,0)</f>
        <v>192151.92702672497</v>
      </c>
      <c r="P18" s="57">
        <f>SUMPRODUCT((Annee_debut=$A18)*(emprunts!$H$2:$H$149&gt;1),emprunts!$G$2:$G$149)</f>
        <v>0</v>
      </c>
      <c r="Q18" s="57"/>
      <c r="R18" s="94">
        <v>2013</v>
      </c>
      <c r="S18" s="57">
        <v>1143950.753150685</v>
      </c>
      <c r="T18" s="57">
        <v>66837723.40526028</v>
      </c>
      <c r="U18" s="57">
        <v>0</v>
      </c>
      <c r="V18" s="57">
        <v>28811904.810726032</v>
      </c>
      <c r="W18" s="57">
        <v>150808242.11338356</v>
      </c>
      <c r="X18" s="57">
        <v>0</v>
      </c>
      <c r="Y18" s="57">
        <v>247601821.08252054</v>
      </c>
      <c r="Z18" s="57">
        <f t="shared" si="12"/>
        <v>179620146.92410958</v>
      </c>
      <c r="AA18" s="57">
        <f t="shared" si="13"/>
        <v>66837723.40526028</v>
      </c>
      <c r="AB18" s="57"/>
      <c r="AC18" s="57"/>
      <c r="AD18" s="57"/>
      <c r="AE18" s="94">
        <v>2013</v>
      </c>
      <c r="AF18" s="129">
        <f t="shared" si="14"/>
        <v>2.3628499675841848E-2</v>
      </c>
      <c r="AG18" s="129">
        <f t="shared" si="2"/>
        <v>2.0706026619259157E-2</v>
      </c>
      <c r="AH18" s="129" t="e">
        <f t="shared" si="3"/>
        <v>#N/A</v>
      </c>
      <c r="AI18" s="129">
        <f t="shared" si="4"/>
        <v>3.2286547387651146E-2</v>
      </c>
      <c r="AJ18" s="129">
        <f t="shared" si="5"/>
        <v>3.903342408549694E-2</v>
      </c>
      <c r="AK18" s="129" t="e">
        <f t="shared" si="6"/>
        <v>#N/A</v>
      </c>
      <c r="AL18" s="129">
        <f t="shared" si="7"/>
        <v>3.3229854627191351E-2</v>
      </c>
      <c r="AM18" s="129">
        <f t="shared" si="8"/>
        <v>3.7951193764918428E-2</v>
      </c>
      <c r="AN18" s="129">
        <f t="shared" si="9"/>
        <v>2.0706026619259157E-2</v>
      </c>
      <c r="AO18" s="129">
        <f t="shared" si="16"/>
        <v>1.7245167145659272E-2</v>
      </c>
    </row>
    <row r="19" spans="1:41">
      <c r="A19" s="94">
        <v>2014</v>
      </c>
      <c r="B19" s="57">
        <v>19125.07</v>
      </c>
      <c r="C19" s="57">
        <v>2356587.2600000002</v>
      </c>
      <c r="D19" s="57">
        <v>0</v>
      </c>
      <c r="E19" s="57">
        <v>2681866.83</v>
      </c>
      <c r="F19" s="57">
        <v>5937172.2699999996</v>
      </c>
      <c r="G19" s="57">
        <v>0</v>
      </c>
      <c r="H19" s="57">
        <v>10994751.43</v>
      </c>
      <c r="I19" s="57">
        <f t="shared" si="10"/>
        <v>8619039.0999999996</v>
      </c>
      <c r="J19" s="57">
        <f t="shared" si="11"/>
        <v>2356587.2600000002</v>
      </c>
      <c r="K19" s="57">
        <f t="shared" si="15"/>
        <v>3332462.8272063667</v>
      </c>
      <c r="L19" s="57">
        <f>SUMPRODUCT((annee_tous=$A19)*emprunts_annees!$W$2:$W$1367)</f>
        <v>0</v>
      </c>
      <c r="M19" s="132">
        <f>IF(SUM(L$5:L19)&lt;&gt;0,SUM(L$5:L19)*AN19,0)</f>
        <v>95424.529927001306</v>
      </c>
      <c r="N19" s="57">
        <f t="shared" si="1"/>
        <v>4736000</v>
      </c>
      <c r="O19" s="132">
        <f>IF(SUM(N$5:N19)&lt;&gt;0,SUM(N$5:N19)*AN19,0)</f>
        <v>421658.89172045572</v>
      </c>
      <c r="P19" s="57">
        <f>SUMPRODUCT((Annee_debut=$A19)*(emprunts!$H$2:$H$149&gt;1),emprunts!$G$2:$G$149)</f>
        <v>8480000</v>
      </c>
      <c r="Q19" s="57"/>
      <c r="R19" s="94">
        <v>2014</v>
      </c>
      <c r="S19" s="57">
        <v>1033435.2222465753</v>
      </c>
      <c r="T19" s="57">
        <v>78333287.130246565</v>
      </c>
      <c r="U19" s="57">
        <v>25078263.178082194</v>
      </c>
      <c r="V19" s="57">
        <v>66732939.423178092</v>
      </c>
      <c r="W19" s="57">
        <v>108993588.56997262</v>
      </c>
      <c r="X19" s="57">
        <v>0</v>
      </c>
      <c r="Y19" s="57">
        <v>280171513.52372605</v>
      </c>
      <c r="Z19" s="57">
        <f t="shared" si="12"/>
        <v>175726527.99315071</v>
      </c>
      <c r="AA19" s="57">
        <f t="shared" si="13"/>
        <v>78333287.130246565</v>
      </c>
      <c r="AB19" s="57"/>
      <c r="AC19" s="57"/>
      <c r="AD19" s="57"/>
      <c r="AE19" s="94">
        <v>2014</v>
      </c>
      <c r="AF19" s="129">
        <f t="shared" si="14"/>
        <v>1.850630749591076E-2</v>
      </c>
      <c r="AG19" s="129">
        <f t="shared" si="2"/>
        <v>3.0084110425260824E-2</v>
      </c>
      <c r="AH19" s="129" t="e">
        <f t="shared" si="3"/>
        <v>#N/A</v>
      </c>
      <c r="AI19" s="129">
        <f t="shared" si="4"/>
        <v>4.0188051855370811E-2</v>
      </c>
      <c r="AJ19" s="129">
        <f t="shared" si="5"/>
        <v>5.447267447468622E-2</v>
      </c>
      <c r="AK19" s="129" t="e">
        <f t="shared" si="6"/>
        <v>#N/A</v>
      </c>
      <c r="AL19" s="129">
        <f t="shared" si="7"/>
        <v>3.9242931202100671E-2</v>
      </c>
      <c r="AM19" s="129">
        <f t="shared" si="8"/>
        <v>4.9048024782780343E-2</v>
      </c>
      <c r="AN19" s="129">
        <f t="shared" si="9"/>
        <v>3.0084110425260824E-2</v>
      </c>
      <c r="AO19" s="129">
        <f t="shared" si="16"/>
        <v>1.8963914357519519E-2</v>
      </c>
    </row>
    <row r="20" spans="1:41">
      <c r="A20" s="94">
        <v>2015</v>
      </c>
      <c r="B20" s="57">
        <v>12246.08</v>
      </c>
      <c r="C20" s="57">
        <v>3151956.79</v>
      </c>
      <c r="D20" s="57">
        <v>1776264.93</v>
      </c>
      <c r="E20" s="57">
        <v>3553237.7500000005</v>
      </c>
      <c r="F20" s="57">
        <v>3575681.8099999996</v>
      </c>
      <c r="G20" s="57">
        <v>0</v>
      </c>
      <c r="H20" s="57">
        <v>12069387.359999999</v>
      </c>
      <c r="I20" s="57">
        <f t="shared" si="10"/>
        <v>7128919.5600000005</v>
      </c>
      <c r="J20" s="57">
        <f t="shared" si="11"/>
        <v>3151956.79</v>
      </c>
      <c r="K20" s="57">
        <f t="shared" si="15"/>
        <v>2199919.9544276348</v>
      </c>
      <c r="L20" s="57">
        <f>SUMPRODUCT((annee_tous=$A20)*emprunts_annees!$W$2:$W$1367)</f>
        <v>0</v>
      </c>
      <c r="M20" s="132">
        <f>IF(SUM(L$5:L20)&lt;&gt;0,SUM(L$5:L20)*AN20,0)</f>
        <v>97469.300312199994</v>
      </c>
      <c r="N20" s="57">
        <f t="shared" si="1"/>
        <v>5500000</v>
      </c>
      <c r="O20" s="132">
        <f>IF(SUM(N$5:N20)&lt;&gt;0,SUM(N$5:N20)*AN20,0)</f>
        <v>599702.42195949249</v>
      </c>
      <c r="P20" s="57">
        <f>SUMPRODUCT((Annee_debut=$A20)*(emprunts!$H$2:$H$149&gt;1),emprunts!$G$2:$G$149)</f>
        <v>10280000</v>
      </c>
      <c r="Q20" s="57"/>
      <c r="R20" s="94">
        <v>2015</v>
      </c>
      <c r="S20" s="57">
        <v>918561.96312328766</v>
      </c>
      <c r="T20" s="57">
        <v>102573520.56816438</v>
      </c>
      <c r="U20" s="57">
        <v>48661047.05567123</v>
      </c>
      <c r="V20" s="57">
        <v>66600050.654630139</v>
      </c>
      <c r="W20" s="57">
        <v>93803430.772109583</v>
      </c>
      <c r="X20" s="57">
        <v>0</v>
      </c>
      <c r="Y20" s="57">
        <v>312556611.01369858</v>
      </c>
      <c r="Z20" s="57">
        <f t="shared" si="12"/>
        <v>160403481.42673972</v>
      </c>
      <c r="AA20" s="57">
        <f t="shared" si="13"/>
        <v>102573520.56816438</v>
      </c>
      <c r="AB20" s="57"/>
      <c r="AC20" s="57"/>
      <c r="AD20" s="57"/>
      <c r="AE20" s="94">
        <v>2015</v>
      </c>
      <c r="AF20" s="129">
        <f t="shared" si="14"/>
        <v>1.3331795231713022E-2</v>
      </c>
      <c r="AG20" s="129">
        <f t="shared" si="2"/>
        <v>3.072875701780552E-2</v>
      </c>
      <c r="AH20" s="129">
        <f t="shared" si="3"/>
        <v>3.6502809484716667E-2</v>
      </c>
      <c r="AI20" s="129">
        <f t="shared" si="4"/>
        <v>5.3351877589795406E-2</v>
      </c>
      <c r="AJ20" s="129">
        <f t="shared" si="5"/>
        <v>3.8118880946763314E-2</v>
      </c>
      <c r="AK20" s="129" t="e">
        <f t="shared" si="6"/>
        <v>#N/A</v>
      </c>
      <c r="AL20" s="129">
        <f t="shared" si="7"/>
        <v>3.8615044234246026E-2</v>
      </c>
      <c r="AM20" s="129">
        <f t="shared" si="8"/>
        <v>4.4443671026279788E-2</v>
      </c>
      <c r="AN20" s="129">
        <f t="shared" si="9"/>
        <v>3.072875701780552E-2</v>
      </c>
      <c r="AO20" s="129">
        <f t="shared" si="16"/>
        <v>1.3714914008474268E-2</v>
      </c>
    </row>
    <row r="21" spans="1:41">
      <c r="A21" s="94">
        <v>2016</v>
      </c>
      <c r="B21" s="57">
        <v>61288.020000000004</v>
      </c>
      <c r="C21" s="57">
        <v>3160340.8000000003</v>
      </c>
      <c r="D21" s="57">
        <v>2369163.84</v>
      </c>
      <c r="E21" s="57">
        <v>3404255.32</v>
      </c>
      <c r="F21" s="57">
        <v>3137721.0700000003</v>
      </c>
      <c r="G21" s="57">
        <v>0</v>
      </c>
      <c r="H21" s="57">
        <v>12132769.050000001</v>
      </c>
      <c r="I21" s="57">
        <f t="shared" si="10"/>
        <v>6541976.3900000006</v>
      </c>
      <c r="J21" s="57">
        <f t="shared" si="11"/>
        <v>3160340.8000000003</v>
      </c>
      <c r="K21" s="57">
        <f t="shared" si="15"/>
        <v>1896557.4394910776</v>
      </c>
      <c r="L21" s="57">
        <f>SUMPRODUCT((annee_tous=$A21)*emprunts_annees!$W$2:$W$1367)</f>
        <v>0</v>
      </c>
      <c r="M21" s="132">
        <f>IF(SUM(L$5:L21)&lt;&gt;0,SUM(L$5:L21)*AN21,0)</f>
        <v>96043.756603799906</v>
      </c>
      <c r="N21" s="57">
        <f t="shared" si="1"/>
        <v>0</v>
      </c>
      <c r="O21" s="132">
        <f>IF(SUM(N$5:N21)&lt;&gt;0,SUM(N$5:N21)*AN21,0)</f>
        <v>590931.43446088163</v>
      </c>
      <c r="P21" s="57">
        <f>SUMPRODUCT((Annee_debut=$A21)*(emprunts!$H$2:$H$149&gt;1),emprunts!$G$2:$G$149)</f>
        <v>17268000</v>
      </c>
      <c r="Q21" s="57"/>
      <c r="R21" s="94">
        <v>2016</v>
      </c>
      <c r="S21" s="57">
        <v>5474575.9699999997</v>
      </c>
      <c r="T21" s="57">
        <v>104372872.14052056</v>
      </c>
      <c r="U21" s="57">
        <v>57166368.894178078</v>
      </c>
      <c r="V21" s="57">
        <v>71596523</v>
      </c>
      <c r="W21" s="57">
        <v>81822284.921164393</v>
      </c>
      <c r="X21" s="57">
        <v>0</v>
      </c>
      <c r="Y21" s="57">
        <v>320432624.92586303</v>
      </c>
      <c r="Z21" s="57">
        <f t="shared" si="12"/>
        <v>153418807.92116439</v>
      </c>
      <c r="AA21" s="57">
        <f t="shared" si="13"/>
        <v>104372872.14052056</v>
      </c>
      <c r="AB21" s="57"/>
      <c r="AC21" s="57"/>
      <c r="AD21" s="57"/>
      <c r="AE21" s="94">
        <v>2016</v>
      </c>
      <c r="AF21" s="129">
        <f t="shared" si="14"/>
        <v>1.1195025940977125E-2</v>
      </c>
      <c r="AG21" s="129">
        <f t="shared" si="2"/>
        <v>3.0279331546468623E-2</v>
      </c>
      <c r="AH21" s="129">
        <f t="shared" si="3"/>
        <v>4.1443315113919708E-2</v>
      </c>
      <c r="AI21" s="129">
        <f t="shared" si="4"/>
        <v>4.7547774352114831E-2</v>
      </c>
      <c r="AJ21" s="129">
        <f t="shared" si="5"/>
        <v>3.8348001073585124E-2</v>
      </c>
      <c r="AK21" s="129" t="e">
        <f t="shared" si="6"/>
        <v>#N/A</v>
      </c>
      <c r="AL21" s="129">
        <f t="shared" si="7"/>
        <v>3.786371332446907E-2</v>
      </c>
      <c r="AM21" s="129">
        <f t="shared" si="8"/>
        <v>4.2641293324099175E-2</v>
      </c>
      <c r="AN21" s="129">
        <f t="shared" si="9"/>
        <v>3.0279331546468623E-2</v>
      </c>
      <c r="AO21" s="129">
        <f t="shared" si="16"/>
        <v>1.2361961777630551E-2</v>
      </c>
    </row>
    <row r="22" spans="1:41">
      <c r="A22" s="94">
        <v>2017</v>
      </c>
      <c r="B22" s="57">
        <v>71685.53</v>
      </c>
      <c r="C22" s="57">
        <v>3678064.55</v>
      </c>
      <c r="D22" s="57">
        <v>2848889.54</v>
      </c>
      <c r="E22" s="57">
        <v>3222868.52</v>
      </c>
      <c r="F22" s="57">
        <v>2304883.13</v>
      </c>
      <c r="G22" s="57">
        <v>0</v>
      </c>
      <c r="H22" s="57">
        <v>12126391.27</v>
      </c>
      <c r="I22" s="57">
        <f t="shared" si="10"/>
        <v>5527751.6500000004</v>
      </c>
      <c r="J22" s="57">
        <f t="shared" si="11"/>
        <v>3678064.55</v>
      </c>
      <c r="K22" s="57">
        <f t="shared" si="15"/>
        <v>1312692.1537294013</v>
      </c>
      <c r="L22" s="57">
        <f>SUMPRODUCT((annee_tous=$A22)*emprunts_annees!$W$2:$W$1367)</f>
        <v>0</v>
      </c>
      <c r="M22" s="132">
        <f>IF(SUM(L$5:L22)&lt;&gt;0,SUM(L$5:L22)*AN22,0)</f>
        <v>103358.19347042243</v>
      </c>
      <c r="N22" s="57">
        <f t="shared" si="1"/>
        <v>0</v>
      </c>
      <c r="O22" s="132">
        <f>IF(SUM(N$5:N22)&lt;&gt;0,SUM(N$5:N22)*AN22,0)</f>
        <v>635935.19964779855</v>
      </c>
      <c r="P22" s="57">
        <f>SUMPRODUCT((Annee_debut=$A22)*(emprunts!$H$2:$H$149&gt;1),emprunts!$G$2:$G$149)</f>
        <v>9677000</v>
      </c>
      <c r="Q22" s="57"/>
      <c r="R22" s="94">
        <v>2017</v>
      </c>
      <c r="S22" s="57">
        <v>5060617.6442739721</v>
      </c>
      <c r="T22" s="57">
        <v>112874877.49939726</v>
      </c>
      <c r="U22" s="57">
        <v>73294711.841972604</v>
      </c>
      <c r="V22" s="57">
        <v>67737639.414027393</v>
      </c>
      <c r="W22" s="57">
        <v>61616894.152876705</v>
      </c>
      <c r="X22" s="57">
        <v>0</v>
      </c>
      <c r="Y22" s="57">
        <v>320584740.55254793</v>
      </c>
      <c r="Z22" s="57">
        <f t="shared" si="12"/>
        <v>129354533.5669041</v>
      </c>
      <c r="AA22" s="57">
        <f t="shared" si="13"/>
        <v>112874877.49939726</v>
      </c>
      <c r="AB22" s="57"/>
      <c r="AC22" s="57"/>
      <c r="AD22" s="57"/>
      <c r="AE22" s="94">
        <v>2017</v>
      </c>
      <c r="AF22" s="129">
        <f t="shared" si="14"/>
        <v>1.4165371707366849E-2</v>
      </c>
      <c r="AG22" s="129">
        <f t="shared" si="2"/>
        <v>3.2585324843605171E-2</v>
      </c>
      <c r="AH22" s="129">
        <f t="shared" si="3"/>
        <v>3.886896432777253E-2</v>
      </c>
      <c r="AI22" s="129">
        <f t="shared" si="4"/>
        <v>4.757869550636562E-2</v>
      </c>
      <c r="AJ22" s="129">
        <f t="shared" si="5"/>
        <v>3.7406674933686053E-2</v>
      </c>
      <c r="AK22" s="129" t="e">
        <f t="shared" si="6"/>
        <v>#N/A</v>
      </c>
      <c r="AL22" s="129">
        <f t="shared" si="7"/>
        <v>3.7825852999426618E-2</v>
      </c>
      <c r="AM22" s="129">
        <f t="shared" si="8"/>
        <v>4.2733342988253015E-2</v>
      </c>
      <c r="AN22" s="129">
        <f t="shared" si="9"/>
        <v>3.2585324843605171E-2</v>
      </c>
      <c r="AO22" s="129">
        <f t="shared" si="16"/>
        <v>1.0148018144647844E-2</v>
      </c>
    </row>
    <row r="23" spans="1:41" ht="16" thickBot="1">
      <c r="A23" s="94">
        <v>2018</v>
      </c>
      <c r="B23" s="57">
        <v>66009.2</v>
      </c>
      <c r="C23" s="57">
        <v>3885751.83</v>
      </c>
      <c r="D23" s="57">
        <v>3572210.2799999993</v>
      </c>
      <c r="E23" s="57">
        <v>3023156.8899999997</v>
      </c>
      <c r="F23" s="57">
        <v>1842996.48</v>
      </c>
      <c r="G23" s="57">
        <v>0</v>
      </c>
      <c r="H23" s="57">
        <v>12390124.68</v>
      </c>
      <c r="I23" s="57">
        <f t="shared" si="10"/>
        <v>4866153.3699999992</v>
      </c>
      <c r="J23" s="57">
        <f t="shared" si="11"/>
        <v>3885751.83</v>
      </c>
      <c r="K23" s="57">
        <f t="shared" si="15"/>
        <v>1747757.2133147884</v>
      </c>
      <c r="L23" s="57">
        <f>SUMPRODUCT((annee_tous=$A23)*emprunts_annees!$W$2:$W$1367)</f>
        <v>0</v>
      </c>
      <c r="M23" s="132">
        <f>IF(SUM(L$5:L23)&lt;&gt;0,SUM(L$5:L23)*AN23,0)</f>
        <v>97771.02950570386</v>
      </c>
      <c r="N23" s="57">
        <f t="shared" si="1"/>
        <v>0</v>
      </c>
      <c r="O23" s="132">
        <f>IF(SUM(N$5:N23)&lt;&gt;0,SUM(N$5:N23)*AN23,0)</f>
        <v>601558.88063458877</v>
      </c>
      <c r="P23" s="57">
        <f>SUMPRODUCT((Annee_debut=$A23)*(emprunts!$H$2:$H$149&gt;1),emprunts!$G$2:$G$149)</f>
        <v>1079000</v>
      </c>
      <c r="Q23" s="57"/>
      <c r="R23" s="94">
        <v>2018</v>
      </c>
      <c r="S23" s="57">
        <v>4620408.704493151</v>
      </c>
      <c r="T23" s="57">
        <v>126063025.8409315</v>
      </c>
      <c r="U23" s="57">
        <v>93414266.320219174</v>
      </c>
      <c r="V23" s="57">
        <v>67888611.885863006</v>
      </c>
      <c r="W23" s="57">
        <v>33279571.899684936</v>
      </c>
      <c r="X23" s="57">
        <v>0</v>
      </c>
      <c r="Y23" s="57">
        <v>325265884.65119171</v>
      </c>
      <c r="Z23" s="57">
        <f t="shared" si="12"/>
        <v>101168183.78554794</v>
      </c>
      <c r="AA23" s="57">
        <f t="shared" si="13"/>
        <v>126063025.8409315</v>
      </c>
      <c r="AB23" s="57"/>
      <c r="AC23" s="57"/>
      <c r="AD23" s="57"/>
      <c r="AE23" s="94">
        <v>2018</v>
      </c>
      <c r="AF23" s="129">
        <f t="shared" si="14"/>
        <v>1.428644178940466E-2</v>
      </c>
      <c r="AG23" s="129">
        <f t="shared" si="2"/>
        <v>3.0823881975537447E-2</v>
      </c>
      <c r="AH23" s="129">
        <f t="shared" si="3"/>
        <v>3.8240521718113707E-2</v>
      </c>
      <c r="AI23" s="129">
        <f t="shared" si="4"/>
        <v>4.4531134250949914E-2</v>
      </c>
      <c r="AJ23" s="129">
        <f t="shared" si="5"/>
        <v>5.537921237554886E-2</v>
      </c>
      <c r="AK23" s="129" t="e">
        <f t="shared" si="6"/>
        <v>#N/A</v>
      </c>
      <c r="AL23" s="129">
        <f t="shared" si="7"/>
        <v>3.8092296993540865E-2</v>
      </c>
      <c r="AM23" s="129">
        <f t="shared" si="8"/>
        <v>4.8099641487239372E-2</v>
      </c>
      <c r="AN23" s="129">
        <f t="shared" si="9"/>
        <v>3.0823881975537447E-2</v>
      </c>
      <c r="AO23" s="129">
        <f t="shared" si="16"/>
        <v>1.7275759511701926E-2</v>
      </c>
    </row>
    <row r="24" spans="1:41" ht="16" thickTop="1">
      <c r="A24" s="94" t="s">
        <v>571</v>
      </c>
      <c r="B24" s="57">
        <v>1932032.8200000005</v>
      </c>
      <c r="C24" s="57">
        <v>23947526.524941497</v>
      </c>
      <c r="D24" s="57">
        <v>10566528.59</v>
      </c>
      <c r="E24" s="57">
        <v>18233674.25</v>
      </c>
      <c r="F24" s="57">
        <v>79986850.140000001</v>
      </c>
      <c r="G24" s="57">
        <v>38670708.954539306</v>
      </c>
      <c r="H24" s="57">
        <v>173337321.27948084</v>
      </c>
      <c r="I24" s="110"/>
      <c r="J24" s="130"/>
      <c r="N24" s="57"/>
      <c r="O24" s="57"/>
      <c r="P24" s="57"/>
      <c r="Q24" s="57"/>
      <c r="R24" s="94" t="s">
        <v>571</v>
      </c>
      <c r="S24" s="57">
        <v>69851031.148958907</v>
      </c>
      <c r="T24" s="57">
        <v>828115563.40258515</v>
      </c>
      <c r="U24" s="57">
        <v>297614657.29012328</v>
      </c>
      <c r="V24" s="57">
        <v>392200538.8300274</v>
      </c>
      <c r="W24" s="57">
        <v>2201327818.2420788</v>
      </c>
      <c r="X24" s="57">
        <v>609044810.54350674</v>
      </c>
      <c r="Y24" s="57">
        <v>4398154419.4572792</v>
      </c>
      <c r="Z24" s="110">
        <v>79986850.140000001</v>
      </c>
      <c r="AA24" s="130"/>
      <c r="AB24" s="130"/>
      <c r="AC24" s="130"/>
      <c r="AD24" s="57"/>
    </row>
    <row r="25" spans="1:41">
      <c r="K25" s="57">
        <f t="shared" si="15"/>
        <v>9806636.6008155178</v>
      </c>
      <c r="M25" s="132">
        <f>SUM(L5:L23)*W26*$AN23</f>
        <v>695082.82120914152</v>
      </c>
      <c r="O25" s="132">
        <f>SUM(N5:N23)*U26*$AN23</f>
        <v>5092771.3469206598</v>
      </c>
      <c r="R25" t="s">
        <v>714</v>
      </c>
      <c r="S25" s="109">
        <f>(IFERROR(SUMPRODUCT((annee_tous=2018)*(categorie_tous=S$4)*encours_tous,emprunts_annees!$D$2:$D$1367)-DATE(2018,12,31)*SUMPRODUCT((annee_tous=2018)*(categorie_tous=S$4)*encours_tous),0)/365)/2</f>
        <v>24271618.882191781</v>
      </c>
      <c r="T25" s="109">
        <f>(IFERROR(SUMPRODUCT((annee_tous=2018)*(categorie_tous=T$4)*encours_tous,emprunts_annees!$D$2:$D$1367)-DATE(2018,12,31)*SUMPRODUCT((annee_tous=2018)*(categorie_tous=T$4)*encours_tous),0)/365)/2</f>
        <v>914407411.67397261</v>
      </c>
      <c r="U25" s="109">
        <f>(IFERROR(SUMPRODUCT((annee_tous=2018)*(categorie_tous=U$4)*encours_tous,emprunts_annees!$D$2:$D$1367)-DATE(2018,12,31)*SUMPRODUCT((annee_tous=2018)*(categorie_tous=U$4)*encours_tous),0)/365)/2</f>
        <v>778125953.22602737</v>
      </c>
      <c r="V25" s="109">
        <f>(IFERROR(SUMPRODUCT((annee_tous=2018)*(categorie_tous=V$4)*encours_tous,emprunts_annees!$D$2:$D$1367)-DATE(2018,12,31)*SUMPRODUCT((annee_tous=2018)*(categorie_tous=V$4)*encours_tous),0)/365)/2</f>
        <v>489141011.17397261</v>
      </c>
      <c r="W25" s="109">
        <f>(IFERROR(SUMPRODUCT((annee_tous=2018)*(categorie_tous=W$4)*encours_tous,emprunts_annees!$D$2:$D$1367)-DATE(2018,12,31)*SUMPRODUCT((annee_tous=2018)*(categorie_tous=W$4)*encours_tous),0)/365)/2</f>
        <v>226293154.89928764</v>
      </c>
      <c r="X25" s="109">
        <f>(IFERROR(SUMPRODUCT((annee_tous=2018)*(categorie_tous=X$4)*encours_tous,emprunts_annees!$D$2:$D$1367)-DATE(2018,12,31)*SUMPRODUCT((annee_tous=2018)*(categorie_tous=X$4)*encours_tous),0)/365)/2</f>
        <v>0</v>
      </c>
      <c r="Z25" s="57">
        <f t="shared" ref="Z25" si="17">W25+V25</f>
        <v>715434166.07326031</v>
      </c>
      <c r="AA25" s="57">
        <f t="shared" ref="AA25" si="18">T25+X25</f>
        <v>914407411.67397261</v>
      </c>
      <c r="AO25" s="129">
        <f>AI23-AG23</f>
        <v>1.3707252275412467E-2</v>
      </c>
    </row>
    <row r="26" spans="1:41">
      <c r="K26" s="130">
        <f t="shared" ref="K26:P26" si="19">SUM(K5:K25)</f>
        <v>12801661.201668</v>
      </c>
      <c r="L26" s="130">
        <f t="shared" si="19"/>
        <v>3171924.600000001</v>
      </c>
      <c r="M26" s="130">
        <f t="shared" si="19"/>
        <v>1805707.1320680047</v>
      </c>
      <c r="N26" s="130">
        <f t="shared" si="19"/>
        <v>19516000</v>
      </c>
      <c r="O26" s="130">
        <f t="shared" si="19"/>
        <v>8897786.7023206092</v>
      </c>
      <c r="P26" s="130">
        <f t="shared" si="19"/>
        <v>46784000</v>
      </c>
      <c r="Q26" s="130"/>
      <c r="R26" s="130" t="s">
        <v>733</v>
      </c>
      <c r="S26" s="131">
        <f>(IFERROR(SUMPRODUCT((annee_tous=2018)*(categorie_tous=S$4)*encours_tous,emprunts_annees!$D$2:$D$1367)/SUMPRODUCT((annee_tous=2018)*(categorie_tous=S$4)*encours_tous)-DATE(2018,12,31),0)/365)/2</f>
        <v>5.5010678164102575</v>
      </c>
      <c r="T26" s="131">
        <f>(IFERROR(SUMPRODUCT((annee_tous=2018)*(categorie_tous=T$4)*encours_tous,emprunts_annees!$D$2:$D$1367)/SUMPRODUCT((annee_tous=2018)*(categorie_tous=T$4)*encours_tous)-DATE(2018,12,31),0)/365)/2</f>
        <v>7.4361251192561602</v>
      </c>
      <c r="U26" s="131">
        <f>(IFERROR(SUMPRODUCT((annee_tous=2018)*(categorie_tous=U$4)*encours_tous,emprunts_annees!$D$2:$D$1367)/SUMPRODUCT((annee_tous=2018)*(categorie_tous=U$4)*encours_tous)-DATE(2018,12,31),0)/365)/2</f>
        <v>8.4659565519974667</v>
      </c>
      <c r="V26" s="131">
        <f>(IFERROR(SUMPRODUCT((annee_tous=2018)*(categorie_tous=V$4)*encours_tous,emprunts_annees!$D$2:$D$1367)/SUMPRODUCT((annee_tous=2018)*(categorie_tous=V$4)*encours_tous)-DATE(2018,12,31),0)/365)/2</f>
        <v>7.3185694734496938</v>
      </c>
      <c r="W26" s="131">
        <f>(IFERROR(SUMPRODUCT((annee_tous=2018)*(categorie_tous=W$4)*encours_tous,emprunts_annees!$D$2:$D$1367)/SUMPRODUCT((annee_tous=2018)*(categorie_tous=W$4)*encours_tous)-DATE(2018,12,31),0)/365)/2</f>
        <v>7.1092922384395187</v>
      </c>
    </row>
    <row r="27" spans="1:41">
      <c r="K27" s="81" t="s">
        <v>735</v>
      </c>
      <c r="L27" s="25" t="s">
        <v>734</v>
      </c>
      <c r="M27" s="25"/>
      <c r="N27" s="25"/>
      <c r="O27" s="25"/>
    </row>
  </sheetData>
  <pageMargins left="0.75" right="0.75" top="1" bottom="1" header="0.5" footer="0.5"/>
  <drawing r:id="rId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pageSetUpPr fitToPage="1"/>
  </sheetPr>
  <dimension ref="A1:S50"/>
  <sheetViews>
    <sheetView topLeftCell="A18" workbookViewId="0">
      <selection activeCell="N7" sqref="N7"/>
    </sheetView>
  </sheetViews>
  <sheetFormatPr baseColWidth="10" defaultRowHeight="15" x14ac:dyDescent="0"/>
  <cols>
    <col min="1" max="1" width="14.1640625" bestFit="1" customWidth="1"/>
    <col min="7" max="7" width="19.83203125" customWidth="1"/>
    <col min="8" max="8" width="0" hidden="1" customWidth="1"/>
    <col min="10" max="11" width="0" hidden="1" customWidth="1"/>
    <col min="12" max="12" width="9.5" bestFit="1" customWidth="1"/>
    <col min="13" max="13" width="10.6640625" customWidth="1"/>
    <col min="14" max="14" width="11.33203125" customWidth="1"/>
    <col min="15" max="15" width="5.5" bestFit="1" customWidth="1"/>
    <col min="16" max="16" width="10.83203125" customWidth="1"/>
    <col min="17" max="17" width="9.83203125" customWidth="1"/>
  </cols>
  <sheetData>
    <row r="1" spans="1:19" ht="45" customHeight="1">
      <c r="G1" s="97" t="s">
        <v>554</v>
      </c>
      <c r="L1" t="s">
        <v>552</v>
      </c>
    </row>
    <row r="2" spans="1:19" s="98" customFormat="1" ht="75">
      <c r="B2" s="98" t="s">
        <v>592</v>
      </c>
      <c r="C2" s="98" t="s">
        <v>587</v>
      </c>
      <c r="D2" s="98" t="s">
        <v>589</v>
      </c>
      <c r="E2" s="98" t="s">
        <v>599</v>
      </c>
      <c r="F2" s="98" t="s">
        <v>588</v>
      </c>
      <c r="G2" s="99" t="s">
        <v>549</v>
      </c>
      <c r="H2" s="99" t="str">
        <f>G2</f>
        <v>Non_st</v>
      </c>
      <c r="I2" s="99" t="s">
        <v>550</v>
      </c>
      <c r="J2" s="99" t="str">
        <f>I2</f>
        <v>Restr</v>
      </c>
      <c r="K2" s="99" t="s">
        <v>551</v>
      </c>
      <c r="L2" s="99" t="s">
        <v>549</v>
      </c>
      <c r="M2" s="99" t="str">
        <f>L2</f>
        <v>Non_st</v>
      </c>
      <c r="N2" s="99" t="s">
        <v>550</v>
      </c>
      <c r="O2" s="99" t="str">
        <f>N2</f>
        <v>Restr</v>
      </c>
      <c r="P2" s="99" t="s">
        <v>551</v>
      </c>
      <c r="Q2" s="99" t="s">
        <v>591</v>
      </c>
      <c r="R2" s="98" t="s">
        <v>593</v>
      </c>
      <c r="S2" s="98" t="s">
        <v>596</v>
      </c>
    </row>
    <row r="3" spans="1:19">
      <c r="D3" t="s">
        <v>590</v>
      </c>
      <c r="G3" s="81" t="s">
        <v>12</v>
      </c>
      <c r="H3" s="83" t="s">
        <v>12</v>
      </c>
      <c r="I3" s="81" t="s">
        <v>12</v>
      </c>
      <c r="J3" s="83" t="s">
        <v>12</v>
      </c>
      <c r="K3" s="81"/>
      <c r="L3" s="81" t="s">
        <v>12</v>
      </c>
      <c r="M3" s="83" t="s">
        <v>12</v>
      </c>
      <c r="N3" s="81" t="s">
        <v>12</v>
      </c>
      <c r="O3" s="83" t="s">
        <v>12</v>
      </c>
      <c r="P3" s="81"/>
      <c r="Q3" s="81"/>
    </row>
    <row r="4" spans="1:19">
      <c r="A4">
        <v>2001</v>
      </c>
      <c r="B4" s="58">
        <f>SUMPRODUCT((année_refi=$A4)*IRA_en_sus)+SUMPRODUCT((annee=$A3)*emprunts_annees!$W$123:$W$1367)</f>
        <v>0</v>
      </c>
      <c r="C4" s="12">
        <v>4.9377343750000094E-2</v>
      </c>
      <c r="D4" s="100">
        <f>C4</f>
        <v>4.9377343750000094E-2</v>
      </c>
      <c r="E4" s="27">
        <f t="shared" ref="E4:E21" si="0">R4/S4</f>
        <v>5.503744102117699E-2</v>
      </c>
      <c r="G4" s="12">
        <f t="shared" ref="G4:G21" si="1">IF(L4=0,#N/A,SUMPRODUCT((annee_signature=$A4)*(Categorie=G$2)*(Risque_Riskedge=L$3),Montant_emprunte,Taux_fixe_1)/L4)</f>
        <v>4.8446153845338749E-2</v>
      </c>
      <c r="H4" s="82"/>
      <c r="I4" s="12" t="e">
        <f t="shared" ref="I4:I21" si="2">IF(N4=0,#N/A,SUMPRODUCT((annee_signature=$A4)*(Categorie=I$2)*(Risque_Riskedge=N$3),Montant_emprunte,Taux_fixe_1)/N4)</f>
        <v>#N/A</v>
      </c>
      <c r="J4" s="82"/>
      <c r="K4" s="82"/>
      <c r="L4" s="58">
        <f t="shared" ref="L4:L21" si="3">SUMPRODUCT((annee_signature=$A4)*(Categorie=L$2)*(Risque_Riskedge=L$3),Montant_emprunte)</f>
        <v>1981837.23</v>
      </c>
      <c r="M4" s="58">
        <f t="shared" ref="M4:M21" si="4">SUMPRODUCT((annee_signature=$A4)*(Categorie=M$2)*(Risque_Riskedge&lt;&gt;M$3),Montant_emprunte)</f>
        <v>0</v>
      </c>
      <c r="N4" s="58">
        <f t="shared" ref="N4:N21" si="5">SUMPRODUCT((annee_signature=$A4)*(Categorie=N$2)*(Risque_Riskedge=N$3),Montant_emprunte)</f>
        <v>0</v>
      </c>
      <c r="O4" s="58">
        <f t="shared" ref="O4:O21" si="6">SUMPRODUCT((annee_signature=$A4)*(Categorie=O$2)*(Risque_Riskedge&lt;&gt;O$3),Montant_emprunte)</f>
        <v>0</v>
      </c>
      <c r="P4" s="58">
        <f t="shared" ref="P4:Q21" si="7">SUMPRODUCT((annee_signature=$A4)*(Categorie=P$2),Montant_emprunte)</f>
        <v>28006019.16</v>
      </c>
      <c r="Q4" s="58">
        <f t="shared" si="7"/>
        <v>0</v>
      </c>
      <c r="R4" s="58">
        <f t="shared" ref="R4:R21" si="8">SUMPRODUCT((annee_preteur=$A4)*interets_preteurs)+SUMPRODUCT((annee_preteur=$A4)*frais_preteurs)</f>
        <v>10149964.301669419</v>
      </c>
      <c r="S4" s="58">
        <f t="shared" ref="S4:S21" si="9">SUMPRODUCT((annee_preteur=$A4)*encours_moyen_estime)</f>
        <v>184419262.83898216</v>
      </c>
    </row>
    <row r="5" spans="1:19">
      <c r="A5">
        <f>A4+1</f>
        <v>2002</v>
      </c>
      <c r="B5" s="58">
        <f>SUMPRODUCT((année_refi=$A5)*IRA_en_sus)+SUMPRODUCT((annee=$A4)*emprunts_annees!$W$123:$W$1367)</f>
        <v>0</v>
      </c>
      <c r="C5" s="12">
        <v>4.85732283464567E-2</v>
      </c>
      <c r="D5" s="100">
        <f t="shared" ref="D5:D6" si="10">C5</f>
        <v>4.85732283464567E-2</v>
      </c>
      <c r="E5" s="27">
        <f t="shared" si="0"/>
        <v>5.9347254263347402E-2</v>
      </c>
      <c r="G5" s="12">
        <f t="shared" si="1"/>
        <v>4.9072952943518676E-2</v>
      </c>
      <c r="H5" s="82"/>
      <c r="I5" s="12" t="e">
        <f t="shared" si="2"/>
        <v>#N/A</v>
      </c>
      <c r="J5" s="82"/>
      <c r="K5" s="82"/>
      <c r="L5" s="58">
        <f t="shared" si="3"/>
        <v>5448751.2200000007</v>
      </c>
      <c r="M5" s="58">
        <f t="shared" si="4"/>
        <v>0</v>
      </c>
      <c r="N5" s="58">
        <f t="shared" si="5"/>
        <v>0</v>
      </c>
      <c r="O5" s="58">
        <f t="shared" si="6"/>
        <v>0</v>
      </c>
      <c r="P5" s="58">
        <f t="shared" si="7"/>
        <v>68618502.109999999</v>
      </c>
      <c r="Q5" s="58">
        <f t="shared" si="7"/>
        <v>12643205</v>
      </c>
      <c r="R5" s="58">
        <f t="shared" si="8"/>
        <v>9811450.3299999982</v>
      </c>
      <c r="S5" s="58">
        <f t="shared" si="9"/>
        <v>165322733.99646571</v>
      </c>
    </row>
    <row r="6" spans="1:19">
      <c r="A6">
        <f t="shared" ref="A6:A21" si="11">A5+1</f>
        <v>2003</v>
      </c>
      <c r="B6" s="58">
        <f>SUMPRODUCT((année_refi=$A6)*IRA_en_sus)+SUMPRODUCT((annee=$A5)*emprunts_annees!$W$123:$W$1367)</f>
        <v>0</v>
      </c>
      <c r="C6" s="12">
        <v>4.1312499999999981E-2</v>
      </c>
      <c r="D6" s="100">
        <f t="shared" si="10"/>
        <v>4.1312499999999981E-2</v>
      </c>
      <c r="E6" s="27">
        <f t="shared" si="0"/>
        <v>4.8763506821231949E-2</v>
      </c>
      <c r="G6" s="12">
        <f t="shared" si="1"/>
        <v>2.8899416953699804E-2</v>
      </c>
      <c r="H6" s="82"/>
      <c r="I6" s="12" t="e">
        <f t="shared" si="2"/>
        <v>#N/A</v>
      </c>
      <c r="J6" s="82"/>
      <c r="K6" s="82"/>
      <c r="L6" s="58">
        <f t="shared" si="3"/>
        <v>1797469.6</v>
      </c>
      <c r="M6" s="58">
        <f t="shared" si="4"/>
        <v>5000000</v>
      </c>
      <c r="N6" s="58">
        <f t="shared" si="5"/>
        <v>0</v>
      </c>
      <c r="O6" s="58">
        <f t="shared" si="6"/>
        <v>0</v>
      </c>
      <c r="P6" s="58">
        <f t="shared" si="7"/>
        <v>24540754.630000003</v>
      </c>
      <c r="Q6" s="58">
        <f t="shared" si="7"/>
        <v>0</v>
      </c>
      <c r="R6" s="58">
        <f t="shared" si="8"/>
        <v>8739560.129999999</v>
      </c>
      <c r="S6" s="58">
        <f t="shared" si="9"/>
        <v>179223372.14260271</v>
      </c>
    </row>
    <row r="7" spans="1:19">
      <c r="A7">
        <f t="shared" si="11"/>
        <v>2004</v>
      </c>
      <c r="B7" s="58">
        <f>SUMPRODUCT((année_refi=$A7)*IRA_en_sus)+SUMPRODUCT((annee=$A6)*emprunts_annees!$W$123:$W$1367)</f>
        <v>1373065.7700000014</v>
      </c>
      <c r="C7" s="12">
        <v>4.0954269230769239E-2</v>
      </c>
      <c r="D7" s="12">
        <v>3.7999999999999999E-2</v>
      </c>
      <c r="E7" s="27">
        <f t="shared" si="0"/>
        <v>4.0929104355571226E-2</v>
      </c>
      <c r="G7" s="12">
        <f t="shared" si="1"/>
        <v>3.7565336274062493E-2</v>
      </c>
      <c r="H7" s="82"/>
      <c r="I7" s="12" t="e">
        <f t="shared" si="2"/>
        <v>#N/A</v>
      </c>
      <c r="J7" s="82"/>
      <c r="K7" s="82"/>
      <c r="L7" s="58">
        <f t="shared" si="3"/>
        <v>4501958.28</v>
      </c>
      <c r="M7" s="58">
        <f t="shared" si="4"/>
        <v>0</v>
      </c>
      <c r="N7" s="58">
        <f t="shared" si="5"/>
        <v>0</v>
      </c>
      <c r="O7" s="58">
        <f t="shared" si="6"/>
        <v>0</v>
      </c>
      <c r="P7" s="58">
        <f t="shared" si="7"/>
        <v>71297300.030000001</v>
      </c>
      <c r="Q7" s="58">
        <f t="shared" si="7"/>
        <v>0</v>
      </c>
      <c r="R7" s="58">
        <f t="shared" si="8"/>
        <v>7482091.9099999992</v>
      </c>
      <c r="S7" s="58">
        <f t="shared" si="9"/>
        <v>182806148.04075342</v>
      </c>
    </row>
    <row r="8" spans="1:19">
      <c r="A8">
        <f t="shared" si="11"/>
        <v>2005</v>
      </c>
      <c r="B8" s="58">
        <f>SUMPRODUCT((année_refi=$A8)*IRA_en_sus)+SUMPRODUCT((annee=$A7)*emprunts_annees!$W$123:$W$1367)</f>
        <v>50987.349999999627</v>
      </c>
      <c r="C8" s="12">
        <v>3.4061573852140072E-2</v>
      </c>
      <c r="D8" s="12">
        <v>3.5499999999999997E-2</v>
      </c>
      <c r="E8" s="27">
        <f t="shared" si="0"/>
        <v>4.0423175693722557E-2</v>
      </c>
      <c r="F8" s="12">
        <v>3.56E-2</v>
      </c>
      <c r="G8" s="12">
        <f t="shared" si="1"/>
        <v>2.9700000000000001E-2</v>
      </c>
      <c r="H8" s="82"/>
      <c r="I8" s="12" t="e">
        <f t="shared" si="2"/>
        <v>#N/A</v>
      </c>
      <c r="J8" s="82"/>
      <c r="K8" s="82"/>
      <c r="L8" s="58">
        <f t="shared" si="3"/>
        <v>1808556.04</v>
      </c>
      <c r="M8" s="58">
        <f t="shared" si="4"/>
        <v>5928592.3399999999</v>
      </c>
      <c r="N8" s="58">
        <f t="shared" si="5"/>
        <v>0</v>
      </c>
      <c r="O8" s="58">
        <f t="shared" si="6"/>
        <v>0</v>
      </c>
      <c r="P8" s="58">
        <f t="shared" si="7"/>
        <v>93843254.699999988</v>
      </c>
      <c r="Q8" s="58">
        <f t="shared" si="7"/>
        <v>0</v>
      </c>
      <c r="R8" s="58">
        <f t="shared" si="8"/>
        <v>7408150.29</v>
      </c>
      <c r="S8" s="58">
        <f t="shared" si="9"/>
        <v>183264925.69831505</v>
      </c>
    </row>
    <row r="9" spans="1:19">
      <c r="A9">
        <f t="shared" si="11"/>
        <v>2006</v>
      </c>
      <c r="B9" s="58">
        <f>SUMPRODUCT((année_refi=$A9)*IRA_en_sus)+SUMPRODUCT((annee=$A8)*emprunts_annees!$W$123:$W$1367)</f>
        <v>507557.14999999991</v>
      </c>
      <c r="C9" s="12">
        <v>3.7945195764705869E-2</v>
      </c>
      <c r="D9" s="12">
        <v>3.3199999999999993E-2</v>
      </c>
      <c r="E9" s="27">
        <f t="shared" si="0"/>
        <v>3.2259774295971738E-2</v>
      </c>
      <c r="F9" s="12">
        <v>3.9199999999999999E-2</v>
      </c>
      <c r="G9" s="12">
        <f t="shared" si="1"/>
        <v>4.0039999999999999E-2</v>
      </c>
      <c r="H9" s="82"/>
      <c r="I9" s="12" t="e">
        <f t="shared" si="2"/>
        <v>#N/A</v>
      </c>
      <c r="J9" s="82"/>
      <c r="K9" s="82"/>
      <c r="L9" s="58">
        <f t="shared" si="3"/>
        <v>12500000</v>
      </c>
      <c r="M9" s="58">
        <f t="shared" si="4"/>
        <v>10000000</v>
      </c>
      <c r="N9" s="58">
        <f t="shared" si="5"/>
        <v>0</v>
      </c>
      <c r="O9" s="58">
        <f t="shared" si="6"/>
        <v>0</v>
      </c>
      <c r="P9" s="58">
        <f t="shared" si="7"/>
        <v>108949015.30999999</v>
      </c>
      <c r="Q9" s="58">
        <f t="shared" si="7"/>
        <v>0</v>
      </c>
      <c r="R9" s="58">
        <f t="shared" si="8"/>
        <v>5905937.5200000005</v>
      </c>
      <c r="S9" s="58">
        <f t="shared" si="9"/>
        <v>183074359.59765756</v>
      </c>
    </row>
    <row r="10" spans="1:19">
      <c r="A10">
        <f t="shared" si="11"/>
        <v>2007</v>
      </c>
      <c r="B10" s="58">
        <f>SUMPRODUCT((année_refi=$A10)*IRA_en_sus)+SUMPRODUCT((annee=$A9)*emprunts_annees!$W$123:$W$1367)</f>
        <v>1191295.9100000001</v>
      </c>
      <c r="C10" s="12">
        <v>4.3044136078431376E-2</v>
      </c>
      <c r="D10" s="12">
        <v>4.1700000000000001E-2</v>
      </c>
      <c r="E10" s="27">
        <f t="shared" si="0"/>
        <v>3.454730158062401E-2</v>
      </c>
      <c r="F10" s="12">
        <v>4.1500000000000002E-2</v>
      </c>
      <c r="G10" s="12" t="e">
        <f t="shared" si="1"/>
        <v>#N/A</v>
      </c>
      <c r="H10" s="82"/>
      <c r="I10" s="12" t="e">
        <f t="shared" si="2"/>
        <v>#N/A</v>
      </c>
      <c r="J10" s="82"/>
      <c r="K10" s="82"/>
      <c r="L10" s="58">
        <f t="shared" si="3"/>
        <v>0</v>
      </c>
      <c r="M10" s="58">
        <f t="shared" si="4"/>
        <v>0</v>
      </c>
      <c r="N10" s="58">
        <f t="shared" si="5"/>
        <v>0</v>
      </c>
      <c r="O10" s="58">
        <f t="shared" si="6"/>
        <v>0</v>
      </c>
      <c r="P10" s="58">
        <f t="shared" si="7"/>
        <v>130579582.16</v>
      </c>
      <c r="Q10" s="58">
        <f t="shared" si="7"/>
        <v>0</v>
      </c>
      <c r="R10" s="58">
        <f t="shared" si="8"/>
        <v>7188152.6999999993</v>
      </c>
      <c r="S10" s="58">
        <f t="shared" si="9"/>
        <v>208066979.79652059</v>
      </c>
    </row>
    <row r="11" spans="1:19">
      <c r="A11">
        <f t="shared" si="11"/>
        <v>2008</v>
      </c>
      <c r="B11" s="58">
        <f>SUMPRODUCT((année_refi=$A11)*IRA_en_sus)+SUMPRODUCT((annee=$A10)*emprunts_annees!$W$123:$W$1367)</f>
        <v>1979018.42</v>
      </c>
      <c r="C11" s="12">
        <v>4.2368978410852708E-2</v>
      </c>
      <c r="D11" s="101">
        <f>C11+differentiel</f>
        <v>5.0455645326906627E-2</v>
      </c>
      <c r="E11" s="27">
        <f t="shared" si="0"/>
        <v>2.8908410070658599E-2</v>
      </c>
      <c r="F11" s="12">
        <v>3.7900000000000003E-2</v>
      </c>
      <c r="G11" s="12" t="e">
        <f t="shared" si="1"/>
        <v>#N/A</v>
      </c>
      <c r="H11" s="82"/>
      <c r="I11" s="12" t="e">
        <f t="shared" si="2"/>
        <v>#N/A</v>
      </c>
      <c r="J11" s="82"/>
      <c r="K11" s="82"/>
      <c r="L11" s="58">
        <f t="shared" si="3"/>
        <v>0</v>
      </c>
      <c r="M11" s="58">
        <f t="shared" si="4"/>
        <v>0</v>
      </c>
      <c r="N11" s="58">
        <f t="shared" si="5"/>
        <v>0</v>
      </c>
      <c r="O11" s="58">
        <f t="shared" si="6"/>
        <v>0</v>
      </c>
      <c r="P11" s="58">
        <f t="shared" si="7"/>
        <v>82287468.320000008</v>
      </c>
      <c r="Q11" s="58">
        <f t="shared" si="7"/>
        <v>0</v>
      </c>
      <c r="R11" s="58">
        <f t="shared" si="8"/>
        <v>6591134.7599999998</v>
      </c>
      <c r="S11" s="58">
        <f t="shared" si="9"/>
        <v>228000597.19264382</v>
      </c>
    </row>
    <row r="12" spans="1:19">
      <c r="A12">
        <f t="shared" si="11"/>
        <v>2009</v>
      </c>
      <c r="B12" s="58">
        <f>SUMPRODUCT((année_refi=$A12)*IRA_en_sus)+SUMPRODUCT((annee=$A11)*emprunts_annees!$W$123:$W$1367)</f>
        <v>0</v>
      </c>
      <c r="C12" s="12">
        <v>3.6484417821011673E-2</v>
      </c>
      <c r="D12" s="101">
        <f>C12+differentiel</f>
        <v>4.4571084737065593E-2</v>
      </c>
      <c r="E12" s="27">
        <f t="shared" si="0"/>
        <v>3.2299660741558184E-2</v>
      </c>
      <c r="F12" s="12">
        <v>2.9700000000000001E-2</v>
      </c>
      <c r="G12" s="12">
        <f t="shared" si="1"/>
        <v>4.48E-2</v>
      </c>
      <c r="H12" s="82"/>
      <c r="I12" s="12" t="e">
        <f t="shared" si="2"/>
        <v>#N/A</v>
      </c>
      <c r="J12" s="82"/>
      <c r="K12" s="82"/>
      <c r="L12" s="58">
        <f t="shared" si="3"/>
        <v>6000000</v>
      </c>
      <c r="M12" s="58">
        <f t="shared" si="4"/>
        <v>15000000</v>
      </c>
      <c r="N12" s="58">
        <f t="shared" si="5"/>
        <v>0</v>
      </c>
      <c r="O12" s="58">
        <f t="shared" si="6"/>
        <v>0</v>
      </c>
      <c r="P12" s="58">
        <f t="shared" si="7"/>
        <v>37497310.160000004</v>
      </c>
      <c r="Q12" s="58">
        <f t="shared" si="7"/>
        <v>0</v>
      </c>
      <c r="R12" s="58">
        <f t="shared" si="8"/>
        <v>6781139.5299999984</v>
      </c>
      <c r="S12" s="58">
        <f t="shared" si="9"/>
        <v>209944605.43280822</v>
      </c>
    </row>
    <row r="13" spans="1:19">
      <c r="A13">
        <f t="shared" si="11"/>
        <v>2010</v>
      </c>
      <c r="B13" s="58">
        <f>SUMPRODUCT((année_refi=$A13)*IRA_en_sus)+SUMPRODUCT((annee=$A12)*emprunts_annees!$W$123:$W$1367)</f>
        <v>0</v>
      </c>
      <c r="C13" s="12">
        <v>3.1136888918918929E-2</v>
      </c>
      <c r="D13" s="101">
        <f>C13+differentiel</f>
        <v>3.9223555834972848E-2</v>
      </c>
      <c r="E13" s="27">
        <f t="shared" si="0"/>
        <v>2.8669443758529409E-2</v>
      </c>
      <c r="F13" s="12">
        <v>3.09E-2</v>
      </c>
      <c r="G13" s="12">
        <f t="shared" si="1"/>
        <v>2.1399999999999999E-2</v>
      </c>
      <c r="H13" s="82"/>
      <c r="I13" s="12" t="e">
        <f t="shared" si="2"/>
        <v>#N/A</v>
      </c>
      <c r="J13" s="82"/>
      <c r="K13" s="82"/>
      <c r="L13" s="58">
        <f t="shared" si="3"/>
        <v>750000</v>
      </c>
      <c r="M13" s="58">
        <f t="shared" si="4"/>
        <v>8000000</v>
      </c>
      <c r="N13" s="58">
        <f t="shared" si="5"/>
        <v>0</v>
      </c>
      <c r="O13" s="58">
        <f t="shared" si="6"/>
        <v>0</v>
      </c>
      <c r="P13" s="58">
        <f t="shared" si="7"/>
        <v>70765452.899999991</v>
      </c>
      <c r="Q13" s="58">
        <f t="shared" si="7"/>
        <v>0</v>
      </c>
      <c r="R13" s="58">
        <f t="shared" si="8"/>
        <v>6160194.6100000003</v>
      </c>
      <c r="S13" s="58">
        <f t="shared" si="9"/>
        <v>214869694.08561647</v>
      </c>
    </row>
    <row r="14" spans="1:19">
      <c r="A14">
        <f t="shared" si="11"/>
        <v>2011</v>
      </c>
      <c r="B14" s="58">
        <f>SUMPRODUCT((année_refi=$A14)*IRA_en_sus)+SUMPRODUCT((annee=$A13)*emprunts_annees!$W$123:$W$1367)</f>
        <v>0</v>
      </c>
      <c r="C14" s="12">
        <v>3.3169506356589162E-2</v>
      </c>
      <c r="D14" s="101">
        <f>C14+differentiel</f>
        <v>4.1256173272643082E-2</v>
      </c>
      <c r="E14" s="27">
        <f t="shared" si="0"/>
        <v>3.3538640690671084E-2</v>
      </c>
      <c r="F14" s="12">
        <v>3.2899999999999999E-2</v>
      </c>
      <c r="G14" s="12" t="e">
        <f t="shared" si="1"/>
        <v>#N/A</v>
      </c>
      <c r="H14" s="82"/>
      <c r="I14" s="12" t="e">
        <f t="shared" si="2"/>
        <v>#N/A</v>
      </c>
      <c r="J14" s="82"/>
      <c r="K14" s="82"/>
      <c r="L14" s="58">
        <f t="shared" si="3"/>
        <v>0</v>
      </c>
      <c r="M14" s="58">
        <f t="shared" si="4"/>
        <v>14825730.33</v>
      </c>
      <c r="N14" s="58">
        <f t="shared" si="5"/>
        <v>0</v>
      </c>
      <c r="O14" s="58">
        <f t="shared" si="6"/>
        <v>0</v>
      </c>
      <c r="P14" s="58">
        <f t="shared" si="7"/>
        <v>72218496.870000005</v>
      </c>
      <c r="Q14" s="58">
        <f t="shared" si="7"/>
        <v>0</v>
      </c>
      <c r="R14" s="58">
        <f t="shared" si="8"/>
        <v>7233128.8599999994</v>
      </c>
      <c r="S14" s="58">
        <f t="shared" si="9"/>
        <v>215665534.17330134</v>
      </c>
    </row>
    <row r="15" spans="1:19">
      <c r="A15">
        <f t="shared" si="11"/>
        <v>2012</v>
      </c>
      <c r="B15" s="58">
        <f>SUMPRODUCT((année_refi=$A15)*IRA_en_sus)+SUMPRODUCT((annee=$A14)*emprunts_annees!$W$123:$W$1367)</f>
        <v>4400000</v>
      </c>
      <c r="C15" s="12">
        <v>2.5359141011673147E-2</v>
      </c>
      <c r="D15" s="101">
        <f>C15+differentiel</f>
        <v>3.344580792772707E-2</v>
      </c>
      <c r="E15" s="27">
        <f t="shared" si="0"/>
        <v>5.3594084995814376E-2</v>
      </c>
      <c r="F15" s="12">
        <v>3.1300000000000001E-2</v>
      </c>
      <c r="G15" s="12">
        <f t="shared" si="1"/>
        <v>4.5199999999999997E-2</v>
      </c>
      <c r="H15" s="82"/>
      <c r="I15" s="12" t="e">
        <f t="shared" si="2"/>
        <v>#N/A</v>
      </c>
      <c r="J15" s="82"/>
      <c r="K15" s="82"/>
      <c r="L15" s="58">
        <f t="shared" si="3"/>
        <v>20000000</v>
      </c>
      <c r="M15" s="58">
        <f t="shared" si="4"/>
        <v>10250000</v>
      </c>
      <c r="N15" s="58">
        <f t="shared" si="5"/>
        <v>0</v>
      </c>
      <c r="O15" s="58">
        <f t="shared" si="6"/>
        <v>0</v>
      </c>
      <c r="P15" s="58">
        <f t="shared" si="7"/>
        <v>51657329.489999995</v>
      </c>
      <c r="Q15" s="58">
        <f t="shared" si="7"/>
        <v>0</v>
      </c>
      <c r="R15" s="58">
        <f t="shared" si="8"/>
        <v>12805679.970000001</v>
      </c>
      <c r="S15" s="58">
        <f t="shared" si="9"/>
        <v>238938307.66958904</v>
      </c>
    </row>
    <row r="16" spans="1:19">
      <c r="A16">
        <f t="shared" si="11"/>
        <v>2013</v>
      </c>
      <c r="B16" s="58">
        <f>SUMPRODUCT((année_refi=$A16)*IRA_en_sus)+SUMPRODUCT((annee=$A15)*emprunts_annees!$W$123:$W$1367)</f>
        <v>2950000</v>
      </c>
      <c r="C16" s="12">
        <v>2.205173560784314E-2</v>
      </c>
      <c r="D16" s="12">
        <v>3.0800000000000001E-2</v>
      </c>
      <c r="E16" s="27">
        <f t="shared" si="0"/>
        <v>3.3229854627191351E-2</v>
      </c>
      <c r="F16" s="12">
        <v>3.0499999999999999E-2</v>
      </c>
      <c r="G16" s="12">
        <f t="shared" si="1"/>
        <v>4.2599999999999999E-2</v>
      </c>
      <c r="H16" s="82"/>
      <c r="I16" s="12" t="e">
        <f t="shared" si="2"/>
        <v>#N/A</v>
      </c>
      <c r="J16" s="82"/>
      <c r="K16" s="82"/>
      <c r="L16" s="58">
        <f t="shared" si="3"/>
        <v>26000000</v>
      </c>
      <c r="M16" s="58">
        <f t="shared" si="4"/>
        <v>0</v>
      </c>
      <c r="N16" s="58">
        <f t="shared" si="5"/>
        <v>0</v>
      </c>
      <c r="O16" s="58">
        <f t="shared" si="6"/>
        <v>0</v>
      </c>
      <c r="P16" s="58">
        <f t="shared" si="7"/>
        <v>21910951.619999997</v>
      </c>
      <c r="Q16" s="58">
        <f t="shared" si="7"/>
        <v>0</v>
      </c>
      <c r="R16" s="58">
        <f t="shared" si="8"/>
        <v>8227772.5199999996</v>
      </c>
      <c r="S16" s="58">
        <f t="shared" si="9"/>
        <v>247601821.08252051</v>
      </c>
    </row>
    <row r="17" spans="1:19">
      <c r="A17">
        <f t="shared" si="11"/>
        <v>2014</v>
      </c>
      <c r="B17" s="58">
        <f>SUMPRODUCT((année_refi=$A17)*IRA_en_sus)+SUMPRODUCT((annee=$A16)*emprunts_annees!$W$123:$W$1367)</f>
        <v>8236000</v>
      </c>
      <c r="C17" s="12">
        <v>1.6605882352941179E-2</v>
      </c>
      <c r="D17" s="12">
        <v>2.4E-2</v>
      </c>
      <c r="E17" s="27">
        <f t="shared" si="0"/>
        <v>3.9242931202100664E-2</v>
      </c>
      <c r="F17" s="12">
        <v>2.9499999999999998E-2</v>
      </c>
      <c r="G17" s="12">
        <f t="shared" si="1"/>
        <v>4.0266666666666659E-2</v>
      </c>
      <c r="H17" s="82"/>
      <c r="I17" s="12" t="e">
        <f t="shared" si="2"/>
        <v>#N/A</v>
      </c>
      <c r="J17" s="82"/>
      <c r="K17" s="82"/>
      <c r="L17" s="58">
        <f t="shared" si="3"/>
        <v>15000000</v>
      </c>
      <c r="M17" s="58">
        <f t="shared" si="4"/>
        <v>5000000</v>
      </c>
      <c r="N17" s="58">
        <f t="shared" si="5"/>
        <v>0</v>
      </c>
      <c r="O17" s="58">
        <f t="shared" si="6"/>
        <v>0</v>
      </c>
      <c r="P17" s="58">
        <f t="shared" si="7"/>
        <v>0</v>
      </c>
      <c r="Q17" s="58">
        <f t="shared" si="7"/>
        <v>0</v>
      </c>
      <c r="R17" s="58">
        <f t="shared" si="8"/>
        <v>10994751.429999998</v>
      </c>
      <c r="S17" s="58">
        <f t="shared" si="9"/>
        <v>280171513.52372605</v>
      </c>
    </row>
    <row r="18" spans="1:19">
      <c r="A18">
        <f t="shared" si="11"/>
        <v>2015</v>
      </c>
      <c r="B18" s="58">
        <f>SUMPRODUCT((année_refi=$A18)*IRA_en_sus)+SUMPRODUCT((annee=$A17)*emprunts_annees!$W$123:$W$1367)</f>
        <v>12350000</v>
      </c>
      <c r="C18" s="12">
        <v>8.4554799999999996E-3</v>
      </c>
      <c r="D18" s="12">
        <v>1.7500000000000002E-2</v>
      </c>
      <c r="E18" s="27">
        <f t="shared" si="0"/>
        <v>3.8615044234246026E-2</v>
      </c>
      <c r="F18" s="12">
        <v>2.8000000000000001E-2</v>
      </c>
      <c r="G18" s="12">
        <f t="shared" si="1"/>
        <v>2.3800000000000002E-2</v>
      </c>
      <c r="H18" s="82"/>
      <c r="I18" s="12" t="e">
        <f t="shared" si="2"/>
        <v>#N/A</v>
      </c>
      <c r="J18" s="82"/>
      <c r="K18" s="82"/>
      <c r="L18" s="58">
        <f t="shared" si="3"/>
        <v>10000000</v>
      </c>
      <c r="M18" s="58">
        <f t="shared" si="4"/>
        <v>0</v>
      </c>
      <c r="N18" s="58">
        <f t="shared" si="5"/>
        <v>0</v>
      </c>
      <c r="O18" s="58">
        <f t="shared" si="6"/>
        <v>0</v>
      </c>
      <c r="P18" s="58">
        <f t="shared" si="7"/>
        <v>0</v>
      </c>
      <c r="Q18" s="58">
        <f t="shared" si="7"/>
        <v>0</v>
      </c>
      <c r="R18" s="58">
        <f t="shared" si="8"/>
        <v>12069387.360000001</v>
      </c>
      <c r="S18" s="58">
        <f t="shared" si="9"/>
        <v>312556611.01369864</v>
      </c>
    </row>
    <row r="19" spans="1:19">
      <c r="A19">
        <f t="shared" si="11"/>
        <v>2016</v>
      </c>
      <c r="B19" s="58">
        <f>SUMPRODUCT((année_refi=$A19)*IRA_en_sus)+SUMPRODUCT((annee=$A18)*emprunts_annees!$W$123:$W$1367)</f>
        <v>7789000</v>
      </c>
      <c r="C19" s="12">
        <v>4.6402343750000007E-3</v>
      </c>
      <c r="D19" s="12">
        <v>1.18E-2</v>
      </c>
      <c r="E19" s="27">
        <f t="shared" si="0"/>
        <v>3.7863713324469063E-2</v>
      </c>
      <c r="F19" s="12">
        <v>2.52E-2</v>
      </c>
      <c r="G19" s="12">
        <f t="shared" si="1"/>
        <v>2.7465116279069769E-2</v>
      </c>
      <c r="H19" s="82"/>
      <c r="I19" s="12" t="e">
        <f t="shared" si="2"/>
        <v>#N/A</v>
      </c>
      <c r="J19" s="82"/>
      <c r="K19" s="82"/>
      <c r="L19" s="58">
        <f t="shared" si="3"/>
        <v>43000000</v>
      </c>
      <c r="M19" s="58">
        <f t="shared" si="4"/>
        <v>0</v>
      </c>
      <c r="N19" s="58">
        <f t="shared" si="5"/>
        <v>0</v>
      </c>
      <c r="O19" s="58">
        <f t="shared" si="6"/>
        <v>0</v>
      </c>
      <c r="P19" s="58">
        <f t="shared" si="7"/>
        <v>0</v>
      </c>
      <c r="Q19" s="58">
        <f t="shared" si="7"/>
        <v>4791666.62</v>
      </c>
      <c r="R19" s="58">
        <f t="shared" si="8"/>
        <v>12132769.050000001</v>
      </c>
      <c r="S19" s="58">
        <f t="shared" si="9"/>
        <v>320432624.92586309</v>
      </c>
    </row>
    <row r="20" spans="1:19">
      <c r="A20">
        <f t="shared" si="11"/>
        <v>2017</v>
      </c>
      <c r="B20" s="58">
        <f>SUMPRODUCT((année_refi=$A20)*IRA_en_sus)+SUMPRODUCT((annee=$A19)*emprunts_annees!$W$123:$W$1367)</f>
        <v>3200000</v>
      </c>
      <c r="C20" s="12">
        <v>8.0930278884462099E-3</v>
      </c>
      <c r="D20" s="101">
        <f>C20+differentiel</f>
        <v>1.6179694804500131E-2</v>
      </c>
      <c r="E20" s="27">
        <f t="shared" si="0"/>
        <v>3.7825852999426618E-2</v>
      </c>
      <c r="F20" s="12">
        <v>2.3699999999999999E-2</v>
      </c>
      <c r="G20" s="12" t="e">
        <f t="shared" si="1"/>
        <v>#N/A</v>
      </c>
      <c r="H20" s="82"/>
      <c r="I20" s="12" t="e">
        <f t="shared" si="2"/>
        <v>#N/A</v>
      </c>
      <c r="J20" s="82"/>
      <c r="K20" s="82"/>
      <c r="L20" s="58">
        <f t="shared" si="3"/>
        <v>0</v>
      </c>
      <c r="M20" s="58">
        <f t="shared" si="4"/>
        <v>0</v>
      </c>
      <c r="N20" s="58">
        <f t="shared" si="5"/>
        <v>0</v>
      </c>
      <c r="O20" s="58">
        <f t="shared" si="6"/>
        <v>0</v>
      </c>
      <c r="P20" s="58">
        <f t="shared" si="7"/>
        <v>0</v>
      </c>
      <c r="Q20" s="58">
        <f t="shared" si="7"/>
        <v>0</v>
      </c>
      <c r="R20" s="58">
        <f t="shared" si="8"/>
        <v>12126391.27</v>
      </c>
      <c r="S20" s="58">
        <f t="shared" si="9"/>
        <v>320584740.55254793</v>
      </c>
    </row>
    <row r="21" spans="1:19">
      <c r="A21">
        <f t="shared" si="11"/>
        <v>2018</v>
      </c>
      <c r="B21" s="58">
        <f>SUMPRODUCT((année_refi=$A21)*IRA_en_sus)+SUMPRODUCT((annee=$A20)*emprunts_annees!$W$123:$W$1367)</f>
        <v>0</v>
      </c>
      <c r="C21" s="12">
        <v>7.8385177865612672E-3</v>
      </c>
      <c r="D21" s="101">
        <f>C21+differentiel</f>
        <v>1.592518470261519E-2</v>
      </c>
      <c r="E21" s="27">
        <f t="shared" si="0"/>
        <v>3.8092296993540858E-2</v>
      </c>
      <c r="G21" s="12" t="e">
        <f t="shared" si="1"/>
        <v>#N/A</v>
      </c>
      <c r="H21" s="82"/>
      <c r="I21" s="12" t="e">
        <f t="shared" si="2"/>
        <v>#N/A</v>
      </c>
      <c r="J21" s="82"/>
      <c r="K21" s="82"/>
      <c r="L21" s="58">
        <f t="shared" si="3"/>
        <v>0</v>
      </c>
      <c r="M21" s="58">
        <f t="shared" si="4"/>
        <v>0</v>
      </c>
      <c r="N21" s="58">
        <f t="shared" si="5"/>
        <v>0</v>
      </c>
      <c r="O21" s="58">
        <f t="shared" si="6"/>
        <v>0</v>
      </c>
      <c r="P21" s="58">
        <f t="shared" si="7"/>
        <v>0</v>
      </c>
      <c r="Q21" s="58">
        <f t="shared" si="7"/>
        <v>0</v>
      </c>
      <c r="R21" s="58">
        <f t="shared" si="8"/>
        <v>12390124.68</v>
      </c>
      <c r="S21" s="58">
        <f t="shared" si="9"/>
        <v>325265884.65119177</v>
      </c>
    </row>
    <row r="22" spans="1:19">
      <c r="A22" t="s">
        <v>597</v>
      </c>
      <c r="B22" s="58">
        <f>SUMPRODUCT((emprunts!$G$2:$G$149&gt;1)*emprunts!$G$2:$G$149)-SUMPRODUCT((emprunts!$G$2:$G$149&gt;1)*emprunts!$F$2:$F$149)</f>
        <v>25445000</v>
      </c>
    </row>
    <row r="23" spans="1:19">
      <c r="B23" t="s">
        <v>571</v>
      </c>
      <c r="D23" t="s">
        <v>598</v>
      </c>
    </row>
    <row r="24" spans="1:19">
      <c r="B24" s="58">
        <f>SUM(B4:B22)</f>
        <v>69471924.599999994</v>
      </c>
      <c r="D24" s="4">
        <f>AVERAGE(D16:D19)-AVERAGE(C16:C19)</f>
        <v>8.0866669160539213E-3</v>
      </c>
      <c r="E24" s="4"/>
    </row>
    <row r="42" spans="1:1">
      <c r="A42" t="s">
        <v>608</v>
      </c>
    </row>
    <row r="43" spans="1:1">
      <c r="A43" s="1" t="s">
        <v>600</v>
      </c>
    </row>
    <row r="44" spans="1:1">
      <c r="A44" t="s">
        <v>601</v>
      </c>
    </row>
    <row r="45" spans="1:1">
      <c r="A45" t="s">
        <v>607</v>
      </c>
    </row>
    <row r="46" spans="1:1">
      <c r="A46" t="s">
        <v>603</v>
      </c>
    </row>
    <row r="47" spans="1:1">
      <c r="A47" t="s">
        <v>602</v>
      </c>
    </row>
    <row r="48" spans="1:1">
      <c r="A48" t="s">
        <v>604</v>
      </c>
    </row>
    <row r="49" spans="1:1">
      <c r="A49" t="s">
        <v>605</v>
      </c>
    </row>
    <row r="50" spans="1:1">
      <c r="A50" t="s">
        <v>606</v>
      </c>
    </row>
  </sheetData>
  <phoneticPr fontId="27" type="noConversion"/>
  <pageMargins left="0.47244094488188981" right="0.47244094488188981" top="1" bottom="1" header="0.5" footer="0.5"/>
  <pageSetup paperSize="9" scale="82" orientation="portrait" horizontalDpi="4294967292" verticalDpi="4294967292"/>
  <drawing r:id="rId1"/>
  <extLst>
    <ext xmlns:mx="http://schemas.microsoft.com/office/mac/excel/2008/main" uri="{64002731-A6B0-56B0-2670-7721B7C09600}">
      <mx:PLV Mode="0" OnePage="0" WScale="10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68"/>
  <sheetViews>
    <sheetView topLeftCell="A25" workbookViewId="0">
      <selection activeCell="A46" sqref="A46"/>
    </sheetView>
  </sheetViews>
  <sheetFormatPr baseColWidth="10" defaultRowHeight="15" x14ac:dyDescent="0"/>
  <cols>
    <col min="1" max="1" width="94.83203125" customWidth="1"/>
  </cols>
  <sheetData>
    <row r="1" spans="1:1">
      <c r="A1" s="25" t="s">
        <v>836</v>
      </c>
    </row>
    <row r="3" spans="1:1">
      <c r="A3" s="137" t="s">
        <v>799</v>
      </c>
    </row>
    <row r="4" spans="1:1">
      <c r="A4" s="133"/>
    </row>
    <row r="5" spans="1:1" ht="57">
      <c r="A5" s="137" t="s">
        <v>800</v>
      </c>
    </row>
    <row r="6" spans="1:1">
      <c r="A6" s="133"/>
    </row>
    <row r="7" spans="1:1" ht="57">
      <c r="A7" s="137" t="s">
        <v>801</v>
      </c>
    </row>
    <row r="8" spans="1:1">
      <c r="A8" s="133"/>
    </row>
    <row r="9" spans="1:1" ht="43">
      <c r="A9" s="137" t="s">
        <v>802</v>
      </c>
    </row>
    <row r="10" spans="1:1" ht="29">
      <c r="A10" s="138" t="s">
        <v>803</v>
      </c>
    </row>
    <row r="11" spans="1:1" ht="29">
      <c r="A11" s="139" t="s">
        <v>804</v>
      </c>
    </row>
    <row r="12" spans="1:1">
      <c r="A12" s="140" t="s">
        <v>805</v>
      </c>
    </row>
    <row r="13" spans="1:1" ht="29">
      <c r="A13" s="141" t="s">
        <v>806</v>
      </c>
    </row>
    <row r="14" spans="1:1" ht="29">
      <c r="A14" s="142" t="s">
        <v>807</v>
      </c>
    </row>
    <row r="15" spans="1:1">
      <c r="A15" s="143" t="s">
        <v>808</v>
      </c>
    </row>
    <row r="16" spans="1:1">
      <c r="A16" s="133"/>
    </row>
    <row r="17" spans="1:1">
      <c r="A17" s="144" t="s">
        <v>809</v>
      </c>
    </row>
    <row r="18" spans="1:1" ht="29">
      <c r="A18" s="142" t="s">
        <v>810</v>
      </c>
    </row>
    <row r="19" spans="1:1" ht="43">
      <c r="A19" s="143" t="s">
        <v>811</v>
      </c>
    </row>
    <row r="20" spans="1:1" ht="409" customHeight="1"/>
    <row r="21" spans="1:1">
      <c r="A21" s="144"/>
    </row>
    <row r="22" spans="1:1">
      <c r="A22" s="144" t="s">
        <v>812</v>
      </c>
    </row>
    <row r="23" spans="1:1">
      <c r="A23" s="145" t="s">
        <v>813</v>
      </c>
    </row>
    <row r="24" spans="1:1">
      <c r="A24" s="144" t="s">
        <v>814</v>
      </c>
    </row>
    <row r="25" spans="1:1" ht="29">
      <c r="A25" s="137" t="s">
        <v>815</v>
      </c>
    </row>
    <row r="26" spans="1:1" ht="369" customHeight="1">
      <c r="A26" s="137"/>
    </row>
    <row r="27" spans="1:1">
      <c r="A27" s="137"/>
    </row>
    <row r="28" spans="1:1">
      <c r="A28" s="144" t="s">
        <v>816</v>
      </c>
    </row>
    <row r="29" spans="1:1">
      <c r="A29" s="133"/>
    </row>
    <row r="30" spans="1:1" ht="29">
      <c r="A30" s="144" t="s">
        <v>817</v>
      </c>
    </row>
    <row r="31" spans="1:1">
      <c r="A31" s="133"/>
    </row>
    <row r="32" spans="1:1" ht="29">
      <c r="A32" s="146" t="s">
        <v>818</v>
      </c>
    </row>
    <row r="33" spans="1:1">
      <c r="A33" s="133"/>
    </row>
    <row r="34" spans="1:1" ht="29">
      <c r="A34" s="144" t="s">
        <v>819</v>
      </c>
    </row>
    <row r="35" spans="1:1">
      <c r="A35" s="144" t="s">
        <v>820</v>
      </c>
    </row>
    <row r="36" spans="1:1">
      <c r="A36" s="144" t="s">
        <v>821</v>
      </c>
    </row>
    <row r="37" spans="1:1">
      <c r="A37" s="144" t="s">
        <v>822</v>
      </c>
    </row>
    <row r="38" spans="1:1">
      <c r="A38" s="144" t="s">
        <v>823</v>
      </c>
    </row>
    <row r="39" spans="1:1">
      <c r="A39" s="133"/>
    </row>
    <row r="40" spans="1:1">
      <c r="A40" s="146" t="s">
        <v>824</v>
      </c>
    </row>
    <row r="41" spans="1:1">
      <c r="A41" s="133"/>
    </row>
    <row r="42" spans="1:1" ht="43">
      <c r="A42" s="144" t="s">
        <v>825</v>
      </c>
    </row>
    <row r="43" spans="1:1">
      <c r="A43" s="133"/>
    </row>
    <row r="44" spans="1:1">
      <c r="A44" s="146" t="s">
        <v>826</v>
      </c>
    </row>
    <row r="45" spans="1:1">
      <c r="A45" s="133"/>
    </row>
    <row r="46" spans="1:1" ht="57">
      <c r="A46" s="144" t="s">
        <v>827</v>
      </c>
    </row>
    <row r="47" spans="1:1">
      <c r="A47" s="144"/>
    </row>
    <row r="48" spans="1:1">
      <c r="A48" s="146" t="s">
        <v>828</v>
      </c>
    </row>
    <row r="49" spans="1:1">
      <c r="A49" s="133"/>
    </row>
    <row r="50" spans="1:1" ht="71">
      <c r="A50" s="137" t="s">
        <v>829</v>
      </c>
    </row>
    <row r="51" spans="1:1">
      <c r="A51" s="133"/>
    </row>
    <row r="52" spans="1:1" ht="43">
      <c r="A52" s="144" t="s">
        <v>830</v>
      </c>
    </row>
    <row r="53" spans="1:1">
      <c r="A53" s="133"/>
    </row>
    <row r="54" spans="1:1">
      <c r="A54" s="144" t="s">
        <v>831</v>
      </c>
    </row>
    <row r="55" spans="1:1">
      <c r="A55" s="133"/>
    </row>
    <row r="56" spans="1:1" ht="99">
      <c r="A56" s="144" t="s">
        <v>832</v>
      </c>
    </row>
    <row r="57" spans="1:1">
      <c r="A57" s="133"/>
    </row>
    <row r="58" spans="1:1" ht="29">
      <c r="A58" s="144" t="s">
        <v>833</v>
      </c>
    </row>
    <row r="59" spans="1:1">
      <c r="A59" s="133"/>
    </row>
    <row r="60" spans="1:1" ht="29">
      <c r="A60" s="144" t="s">
        <v>834</v>
      </c>
    </row>
    <row r="61" spans="1:1" ht="276" customHeight="1">
      <c r="A61" s="144"/>
    </row>
    <row r="62" spans="1:1">
      <c r="A62" s="144"/>
    </row>
    <row r="63" spans="1:1">
      <c r="A63" s="133"/>
    </row>
    <row r="64" spans="1:1">
      <c r="A64" s="133"/>
    </row>
    <row r="65" spans="1:1">
      <c r="A65" s="144" t="s">
        <v>835</v>
      </c>
    </row>
    <row r="66" spans="1:1">
      <c r="A66" s="133"/>
    </row>
    <row r="67" spans="1:1">
      <c r="A67" s="144" t="s">
        <v>745</v>
      </c>
    </row>
    <row r="68" spans="1:1">
      <c r="A68" s="133"/>
    </row>
  </sheetData>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enableFormatConditionsCalculation="0"/>
  <dimension ref="A1:X812"/>
  <sheetViews>
    <sheetView zoomScale="90" zoomScaleNormal="90" zoomScalePageLayoutView="90" workbookViewId="0">
      <pane ySplit="8500" topLeftCell="A25" activePane="bottomLeft"/>
      <selection pane="bottomLeft" activeCell="H31" sqref="H31"/>
    </sheetView>
  </sheetViews>
  <sheetFormatPr baseColWidth="10" defaultRowHeight="15" x14ac:dyDescent="0"/>
  <cols>
    <col min="1" max="1" width="27.6640625" style="102" bestFit="1" customWidth="1"/>
    <col min="2" max="2" width="20.83203125" style="102" bestFit="1" customWidth="1"/>
    <col min="3" max="4" width="9.6640625" style="102" bestFit="1" customWidth="1"/>
    <col min="5" max="5" width="10.5" style="102" customWidth="1"/>
    <col min="6" max="7" width="10.5" style="102" bestFit="1" customWidth="1"/>
    <col min="8" max="8" width="10.5" style="102" customWidth="1"/>
    <col min="9" max="11" width="10.5" style="102" bestFit="1" customWidth="1"/>
    <col min="12" max="12" width="10.33203125" style="102" customWidth="1"/>
    <col min="13" max="13" width="10.5" style="102" customWidth="1"/>
    <col min="14" max="15" width="10.5" style="102" bestFit="1" customWidth="1"/>
    <col min="16" max="16" width="9.6640625" style="102" customWidth="1"/>
    <col min="17" max="19" width="9.6640625" style="102" bestFit="1" customWidth="1"/>
    <col min="20" max="21" width="11.5" style="102" customWidth="1"/>
    <col min="22" max="22" width="12.1640625" style="102" bestFit="1" customWidth="1"/>
    <col min="23" max="23" width="20.33203125" style="102" bestFit="1" customWidth="1"/>
    <col min="24" max="24" width="12.6640625" style="102" bestFit="1" customWidth="1"/>
    <col min="25" max="25" width="12.1640625" style="102" bestFit="1" customWidth="1"/>
    <col min="26" max="26" width="20.33203125" style="102" bestFit="1" customWidth="1"/>
    <col min="27" max="27" width="12.6640625" style="102" bestFit="1" customWidth="1"/>
    <col min="28" max="28" width="12.1640625" style="102" bestFit="1" customWidth="1"/>
    <col min="29" max="29" width="20.33203125" style="102" bestFit="1" customWidth="1"/>
    <col min="30" max="30" width="12.6640625" style="102" bestFit="1" customWidth="1"/>
    <col min="31" max="31" width="12.1640625" style="102" bestFit="1" customWidth="1"/>
    <col min="32" max="32" width="20.33203125" style="102" bestFit="1" customWidth="1"/>
    <col min="33" max="33" width="12.6640625" style="102" bestFit="1" customWidth="1"/>
    <col min="34" max="34" width="12.1640625" style="102" bestFit="1" customWidth="1"/>
    <col min="35" max="35" width="20.33203125" style="102" bestFit="1" customWidth="1"/>
    <col min="36" max="36" width="12.6640625" style="102" bestFit="1" customWidth="1"/>
    <col min="37" max="37" width="12.1640625" style="102" bestFit="1" customWidth="1"/>
    <col min="38" max="38" width="20.33203125" style="102" bestFit="1" customWidth="1"/>
    <col min="39" max="39" width="12.6640625" style="102" bestFit="1" customWidth="1"/>
    <col min="40" max="40" width="12.1640625" style="102" bestFit="1" customWidth="1"/>
    <col min="41" max="41" width="20.33203125" style="102" bestFit="1" customWidth="1"/>
    <col min="42" max="42" width="12.6640625" style="102" bestFit="1" customWidth="1"/>
    <col min="43" max="43" width="12.1640625" style="102" bestFit="1" customWidth="1"/>
    <col min="44" max="44" width="20.33203125" style="102" bestFit="1" customWidth="1"/>
    <col min="45" max="45" width="12.6640625" style="102" bestFit="1" customWidth="1"/>
    <col min="46" max="46" width="12.1640625" style="102" bestFit="1" customWidth="1"/>
    <col min="47" max="47" width="20.33203125" style="102" bestFit="1" customWidth="1"/>
    <col min="48" max="48" width="12.6640625" style="102" bestFit="1" customWidth="1"/>
    <col min="49" max="49" width="12.1640625" style="102" bestFit="1" customWidth="1"/>
    <col min="50" max="50" width="20.33203125" style="102" bestFit="1" customWidth="1"/>
    <col min="51" max="51" width="12.6640625" style="102" bestFit="1" customWidth="1"/>
    <col min="52" max="52" width="12.1640625" style="102" bestFit="1" customWidth="1"/>
    <col min="53" max="53" width="20.33203125" style="102" bestFit="1" customWidth="1"/>
    <col min="54" max="54" width="12.6640625" style="102" bestFit="1" customWidth="1"/>
    <col min="55" max="55" width="12.1640625" style="102" bestFit="1" customWidth="1"/>
    <col min="56" max="56" width="25" style="102" bestFit="1" customWidth="1"/>
    <col min="57" max="57" width="17.1640625" style="102" bestFit="1" customWidth="1"/>
    <col min="58" max="58" width="16.83203125" style="102" bestFit="1" customWidth="1"/>
    <col min="59" max="16384" width="10.83203125" style="102"/>
  </cols>
  <sheetData>
    <row r="1" spans="1:21">
      <c r="A1" s="136">
        <v>1</v>
      </c>
      <c r="B1" s="113" t="str">
        <f ca="1">INDEX(emprunts!C:C,MATCH($A2,emprunts!$A:$A,0))</f>
        <v>Crédit Mutuel</v>
      </c>
      <c r="C1" s="114">
        <f ca="1">INDEX(emprunts!M:M,MATCH($A2,emprunts!$A:$A,0))</f>
        <v>36495</v>
      </c>
      <c r="D1" s="114">
        <f ca="1">IF(INDEX(emprunts!O:O,MATCH($A2,emprunts!$A:$A,0))="",INDEX(emprunts!N:N,MATCH($A2,emprunts!$A:$A,0)),MIN(INDEX(emprunts!N:N,MATCH($A2,emprunts!$A:$A,0)),INDEX(emprunts!O:O,MATCH($A2,emprunts!$A:$A,0))))</f>
        <v>41973</v>
      </c>
      <c r="E1" s="115">
        <f ca="1">INDEX(emprunts!I:I,MATCH($A2,emprunts!$A:$A,0))</f>
        <v>15</v>
      </c>
      <c r="F1" s="114" t="str">
        <f ca="1">INDEX(emprunts!P:P,MATCH($A2,emprunts!$A:$A,0))</f>
        <v>Fixe à phase</v>
      </c>
      <c r="G1" s="116">
        <f ca="1">INDEX(emprunts!X:X,MATCH($A2,emprunts!$A:$A,0))</f>
        <v>0</v>
      </c>
    </row>
    <row r="2" spans="1:21">
      <c r="A2" s="102" t="str">
        <f ca="1">OFFSET(A14,($A$1-1)*5,0)</f>
        <v>000769</v>
      </c>
      <c r="B2" s="102">
        <f>B13</f>
        <v>2001</v>
      </c>
      <c r="C2" s="102">
        <f t="shared" ref="C2:T2" si="0">C13</f>
        <v>2002</v>
      </c>
      <c r="D2" s="102">
        <f t="shared" si="0"/>
        <v>2003</v>
      </c>
      <c r="E2" s="102">
        <f t="shared" si="0"/>
        <v>2004</v>
      </c>
      <c r="F2" s="102">
        <f t="shared" si="0"/>
        <v>2005</v>
      </c>
      <c r="G2" s="102">
        <f t="shared" si="0"/>
        <v>2006</v>
      </c>
      <c r="H2" s="102">
        <f t="shared" si="0"/>
        <v>2007</v>
      </c>
      <c r="I2" s="102">
        <f t="shared" si="0"/>
        <v>2008</v>
      </c>
      <c r="J2" s="102">
        <f t="shared" si="0"/>
        <v>2009</v>
      </c>
      <c r="K2" s="102">
        <f t="shared" si="0"/>
        <v>2010</v>
      </c>
      <c r="L2" s="102">
        <f t="shared" si="0"/>
        <v>2011</v>
      </c>
      <c r="M2" s="102">
        <f t="shared" si="0"/>
        <v>2012</v>
      </c>
      <c r="N2" s="102">
        <f t="shared" si="0"/>
        <v>2013</v>
      </c>
      <c r="O2" s="102">
        <f t="shared" si="0"/>
        <v>2014</v>
      </c>
      <c r="P2" s="102">
        <f t="shared" si="0"/>
        <v>2015</v>
      </c>
      <c r="Q2" s="102">
        <f t="shared" si="0"/>
        <v>2016</v>
      </c>
      <c r="R2" s="102">
        <f t="shared" si="0"/>
        <v>2017</v>
      </c>
      <c r="S2" s="102">
        <f t="shared" si="0"/>
        <v>2018</v>
      </c>
      <c r="T2" s="102" t="str">
        <f t="shared" si="0"/>
        <v>Total</v>
      </c>
    </row>
    <row r="3" spans="1:21">
      <c r="A3" s="102" t="str">
        <f t="shared" ref="A3:T3" ca="1" si="1">OFFSET(A15,($A$1-1)*5,0)</f>
        <v>Max sur Encours_31_dec</v>
      </c>
      <c r="B3" s="102">
        <f t="shared" ca="1" si="1"/>
        <v>1379464.1072672855</v>
      </c>
      <c r="C3" s="102">
        <f t="shared" ca="1" si="1"/>
        <v>1379254</v>
      </c>
      <c r="D3" s="102">
        <f t="shared" ca="1" si="1"/>
        <v>1379254</v>
      </c>
      <c r="E3" s="102">
        <f t="shared" ca="1" si="1"/>
        <v>1284876</v>
      </c>
      <c r="F3" s="102">
        <f t="shared" ca="1" si="1"/>
        <v>1185269</v>
      </c>
      <c r="G3" s="102">
        <f t="shared" ca="1" si="1"/>
        <v>1071071</v>
      </c>
      <c r="H3" s="102">
        <f t="shared" ca="1" si="1"/>
        <v>952848</v>
      </c>
      <c r="I3" s="102">
        <f t="shared" ca="1" si="1"/>
        <v>830457</v>
      </c>
      <c r="J3" s="102">
        <f t="shared" ca="1" si="1"/>
        <v>703753</v>
      </c>
      <c r="K3" s="102">
        <f t="shared" ca="1" si="1"/>
        <v>572581</v>
      </c>
      <c r="L3" s="102">
        <f t="shared" ca="1" si="1"/>
        <v>436786</v>
      </c>
      <c r="M3" s="102">
        <f t="shared" ca="1" si="1"/>
        <v>295284</v>
      </c>
      <c r="N3" s="102">
        <f t="shared" ca="1" si="1"/>
        <v>149727</v>
      </c>
      <c r="O3" s="102">
        <f t="shared" ca="1" si="1"/>
        <v>0</v>
      </c>
      <c r="P3" s="102">
        <f t="shared" ca="1" si="1"/>
        <v>0</v>
      </c>
      <c r="Q3" s="102">
        <f t="shared" ca="1" si="1"/>
        <v>0</v>
      </c>
      <c r="R3" s="102">
        <f t="shared" ca="1" si="1"/>
        <v>0</v>
      </c>
      <c r="S3" s="102">
        <f t="shared" ca="1" si="1"/>
        <v>0</v>
      </c>
      <c r="T3" s="102">
        <f t="shared" ca="1" si="1"/>
        <v>1379464.1072672855</v>
      </c>
      <c r="U3" s="102">
        <f t="shared" ref="U3" ca="1" si="2">OFFSET(U15,($A$1-1)*5,0)</f>
        <v>0</v>
      </c>
    </row>
    <row r="4" spans="1:21">
      <c r="A4" s="102" t="str">
        <f t="shared" ref="A4:T4" ca="1" si="3">OFFSET(A16,($A$1-1)*5,0)</f>
        <v>Somme sur Intérêt</v>
      </c>
      <c r="B4" s="102">
        <f t="shared" ca="1" si="3"/>
        <v>80371.933211050578</v>
      </c>
      <c r="C4" s="102">
        <f t="shared" ca="1" si="3"/>
        <v>76410.66</v>
      </c>
      <c r="D4" s="102">
        <f t="shared" ca="1" si="3"/>
        <v>76410.66</v>
      </c>
      <c r="E4" s="102">
        <f t="shared" ca="1" si="3"/>
        <v>76410.66</v>
      </c>
      <c r="F4" s="102">
        <f t="shared" ca="1" si="3"/>
        <v>71182.11</v>
      </c>
      <c r="G4" s="102">
        <f t="shared" ca="1" si="3"/>
        <v>41780.730000000003</v>
      </c>
      <c r="H4" s="102">
        <f t="shared" ca="1" si="3"/>
        <v>37755.26</v>
      </c>
      <c r="I4" s="102">
        <f t="shared" ca="1" si="3"/>
        <v>33587.89</v>
      </c>
      <c r="J4" s="102">
        <f t="shared" ca="1" si="3"/>
        <v>29273.63</v>
      </c>
      <c r="K4" s="102">
        <f t="shared" ca="1" si="3"/>
        <v>24807.279999999999</v>
      </c>
      <c r="L4" s="102">
        <f t="shared" ca="1" si="3"/>
        <v>19782.189999999999</v>
      </c>
      <c r="M4" s="102">
        <f t="shared" ca="1" si="3"/>
        <v>8459.8799999999992</v>
      </c>
      <c r="N4" s="102">
        <f t="shared" ca="1" si="3"/>
        <v>8459.8799999999992</v>
      </c>
      <c r="O4" s="102">
        <f t="shared" ca="1" si="3"/>
        <v>4289.68</v>
      </c>
      <c r="P4" s="102">
        <f t="shared" ca="1" si="3"/>
        <v>0</v>
      </c>
      <c r="Q4" s="102">
        <f t="shared" ca="1" si="3"/>
        <v>0</v>
      </c>
      <c r="R4" s="102">
        <f t="shared" ca="1" si="3"/>
        <v>0</v>
      </c>
      <c r="S4" s="102">
        <f t="shared" ca="1" si="3"/>
        <v>0</v>
      </c>
      <c r="T4" s="102">
        <f t="shared" ca="1" si="3"/>
        <v>588982.44321105059</v>
      </c>
      <c r="U4" s="102">
        <f t="shared" ref="U4" ca="1" si="4">OFFSET(U16,($A$1-1)*5,0)</f>
        <v>0</v>
      </c>
    </row>
    <row r="5" spans="1:21">
      <c r="A5" s="102" t="str">
        <f t="shared" ref="A5:T5" ca="1" si="5">OFFSET(A17,($A$1-1)*5,0)</f>
        <v>Somme sur Amort</v>
      </c>
      <c r="B5" s="102">
        <f t="shared" ca="1" si="5"/>
        <v>71292.68880258959</v>
      </c>
      <c r="C5" s="102">
        <f t="shared" ca="1" si="5"/>
        <v>0</v>
      </c>
      <c r="D5" s="102">
        <f t="shared" ca="1" si="5"/>
        <v>0</v>
      </c>
      <c r="E5" s="102">
        <f t="shared" ca="1" si="5"/>
        <v>94378.14</v>
      </c>
      <c r="F5" s="102">
        <f t="shared" ca="1" si="5"/>
        <v>99606.69</v>
      </c>
      <c r="G5" s="102">
        <f t="shared" ca="1" si="5"/>
        <v>114197.74</v>
      </c>
      <c r="H5" s="102">
        <f t="shared" ca="1" si="5"/>
        <v>118223.21</v>
      </c>
      <c r="I5" s="102">
        <f t="shared" ca="1" si="5"/>
        <v>122390.58</v>
      </c>
      <c r="J5" s="102">
        <f t="shared" ca="1" si="5"/>
        <v>126704.84</v>
      </c>
      <c r="K5" s="102">
        <f t="shared" ca="1" si="5"/>
        <v>131171.19</v>
      </c>
      <c r="L5" s="102">
        <f t="shared" ca="1" si="5"/>
        <v>135794.97</v>
      </c>
      <c r="M5" s="102">
        <f t="shared" ca="1" si="5"/>
        <v>145556.76999999999</v>
      </c>
      <c r="N5" s="102">
        <f t="shared" ca="1" si="5"/>
        <v>145556.76999999999</v>
      </c>
      <c r="O5" s="102">
        <f t="shared" ca="1" si="5"/>
        <v>149726.96</v>
      </c>
      <c r="P5" s="102">
        <f t="shared" ca="1" si="5"/>
        <v>0</v>
      </c>
      <c r="Q5" s="102">
        <f t="shared" ca="1" si="5"/>
        <v>0</v>
      </c>
      <c r="R5" s="102">
        <f t="shared" ca="1" si="5"/>
        <v>0</v>
      </c>
      <c r="S5" s="102">
        <f t="shared" ca="1" si="5"/>
        <v>0</v>
      </c>
      <c r="T5" s="102">
        <f t="shared" ca="1" si="5"/>
        <v>1454600.5488025895</v>
      </c>
      <c r="U5" s="102">
        <f t="shared" ref="U5" ca="1" si="6">OFFSET(U17,($A$1-1)*5,0)</f>
        <v>0</v>
      </c>
    </row>
    <row r="6" spans="1:21">
      <c r="A6" s="102" t="str">
        <f t="shared" ref="A6:T6" ca="1" si="7">OFFSET(A18,($A$1-1)*5,0)</f>
        <v>Somme sur Refinancement</v>
      </c>
      <c r="B6" s="102">
        <f t="shared" ca="1" si="7"/>
        <v>0</v>
      </c>
      <c r="C6" s="102">
        <f t="shared" ca="1" si="7"/>
        <v>0</v>
      </c>
      <c r="D6" s="102">
        <f t="shared" ca="1" si="7"/>
        <v>0</v>
      </c>
      <c r="E6" s="102">
        <f t="shared" ca="1" si="7"/>
        <v>0</v>
      </c>
      <c r="F6" s="102">
        <f t="shared" ca="1" si="7"/>
        <v>0</v>
      </c>
      <c r="G6" s="102">
        <f t="shared" ca="1" si="7"/>
        <v>0</v>
      </c>
      <c r="H6" s="102">
        <f t="shared" ca="1" si="7"/>
        <v>0</v>
      </c>
      <c r="I6" s="102">
        <f t="shared" ca="1" si="7"/>
        <v>0</v>
      </c>
      <c r="J6" s="102">
        <f t="shared" ca="1" si="7"/>
        <v>0</v>
      </c>
      <c r="K6" s="102">
        <f t="shared" ca="1" si="7"/>
        <v>0</v>
      </c>
      <c r="L6" s="102">
        <f t="shared" ca="1" si="7"/>
        <v>0</v>
      </c>
      <c r="M6" s="102">
        <f t="shared" ca="1" si="7"/>
        <v>0</v>
      </c>
      <c r="N6" s="102">
        <f t="shared" ca="1" si="7"/>
        <v>0</v>
      </c>
      <c r="O6" s="102">
        <f t="shared" ca="1" si="7"/>
        <v>0</v>
      </c>
      <c r="P6" s="102">
        <f t="shared" ca="1" si="7"/>
        <v>0</v>
      </c>
      <c r="Q6" s="102">
        <f t="shared" ca="1" si="7"/>
        <v>0</v>
      </c>
      <c r="R6" s="102">
        <f t="shared" ca="1" si="7"/>
        <v>0</v>
      </c>
      <c r="S6" s="102">
        <f t="shared" ca="1" si="7"/>
        <v>0</v>
      </c>
      <c r="T6" s="102">
        <f t="shared" ca="1" si="7"/>
        <v>0</v>
      </c>
      <c r="U6" s="102">
        <f t="shared" ref="U6" ca="1" si="8">OFFSET(U18,($A$1-1)*5,0)</f>
        <v>0</v>
      </c>
    </row>
    <row r="8" spans="1:21" ht="225" customHeight="1"/>
    <row r="12" spans="1:21">
      <c r="B12" s="103" t="s">
        <v>572</v>
      </c>
      <c r="U12"/>
    </row>
    <row r="13" spans="1:21">
      <c r="A13" s="103" t="s">
        <v>570</v>
      </c>
      <c r="B13" s="102">
        <v>2001</v>
      </c>
      <c r="C13" s="102">
        <v>2002</v>
      </c>
      <c r="D13" s="102">
        <v>2003</v>
      </c>
      <c r="E13" s="102">
        <v>2004</v>
      </c>
      <c r="F13" s="102">
        <v>2005</v>
      </c>
      <c r="G13" s="102">
        <v>2006</v>
      </c>
      <c r="H13" s="102">
        <v>2007</v>
      </c>
      <c r="I13" s="102">
        <v>2008</v>
      </c>
      <c r="J13" s="102">
        <v>2009</v>
      </c>
      <c r="K13" s="102">
        <v>2010</v>
      </c>
      <c r="L13" s="102">
        <v>2011</v>
      </c>
      <c r="M13" s="102">
        <v>2012</v>
      </c>
      <c r="N13" s="102">
        <v>2013</v>
      </c>
      <c r="O13" s="102">
        <v>2014</v>
      </c>
      <c r="P13" s="102">
        <v>2015</v>
      </c>
      <c r="Q13" s="102">
        <v>2016</v>
      </c>
      <c r="R13" s="102">
        <v>2017</v>
      </c>
      <c r="S13" s="102">
        <v>2018</v>
      </c>
      <c r="T13" s="102" t="s">
        <v>571</v>
      </c>
      <c r="U13"/>
    </row>
    <row r="14" spans="1:21">
      <c r="A14" s="104" t="s">
        <v>540</v>
      </c>
      <c r="B14" s="58"/>
      <c r="C14" s="58"/>
      <c r="D14" s="58"/>
      <c r="E14" s="58"/>
      <c r="F14" s="58"/>
      <c r="G14" s="58"/>
      <c r="H14" s="58"/>
      <c r="I14" s="58"/>
      <c r="J14" s="58"/>
      <c r="K14" s="58"/>
      <c r="L14" s="58"/>
      <c r="M14" s="58"/>
      <c r="N14" s="58"/>
      <c r="O14" s="58"/>
      <c r="P14" s="58"/>
      <c r="Q14" s="58"/>
      <c r="R14" s="58"/>
      <c r="S14" s="58"/>
      <c r="T14" s="58"/>
      <c r="U14"/>
    </row>
    <row r="15" spans="1:21">
      <c r="A15" s="105" t="s">
        <v>622</v>
      </c>
      <c r="B15" s="58">
        <v>1379464.1072672855</v>
      </c>
      <c r="C15" s="58">
        <v>1379254</v>
      </c>
      <c r="D15" s="58">
        <v>1379254</v>
      </c>
      <c r="E15" s="58">
        <v>1284876</v>
      </c>
      <c r="F15" s="58">
        <v>1185269</v>
      </c>
      <c r="G15" s="58">
        <v>1071071</v>
      </c>
      <c r="H15" s="58">
        <v>952848</v>
      </c>
      <c r="I15" s="58">
        <v>830457</v>
      </c>
      <c r="J15" s="58">
        <v>703753</v>
      </c>
      <c r="K15" s="58">
        <v>572581</v>
      </c>
      <c r="L15" s="58">
        <v>436786</v>
      </c>
      <c r="M15" s="58">
        <v>295284</v>
      </c>
      <c r="N15" s="58">
        <v>149727</v>
      </c>
      <c r="O15" s="58">
        <v>0</v>
      </c>
      <c r="P15" s="58"/>
      <c r="Q15" s="58"/>
      <c r="R15" s="58"/>
      <c r="S15" s="58"/>
      <c r="T15" s="58">
        <v>1379464.1072672855</v>
      </c>
      <c r="U15"/>
    </row>
    <row r="16" spans="1:21">
      <c r="A16" s="105" t="s">
        <v>614</v>
      </c>
      <c r="B16" s="58">
        <v>80371.933211050578</v>
      </c>
      <c r="C16" s="58">
        <v>76410.66</v>
      </c>
      <c r="D16" s="58">
        <v>76410.66</v>
      </c>
      <c r="E16" s="58">
        <v>76410.66</v>
      </c>
      <c r="F16" s="58">
        <v>71182.11</v>
      </c>
      <c r="G16" s="58">
        <v>41780.730000000003</v>
      </c>
      <c r="H16" s="58">
        <v>37755.26</v>
      </c>
      <c r="I16" s="58">
        <v>33587.89</v>
      </c>
      <c r="J16" s="58">
        <v>29273.63</v>
      </c>
      <c r="K16" s="58">
        <v>24807.279999999999</v>
      </c>
      <c r="L16" s="58">
        <v>19782.189999999999</v>
      </c>
      <c r="M16" s="58">
        <v>8459.8799999999992</v>
      </c>
      <c r="N16" s="58">
        <v>8459.8799999999992</v>
      </c>
      <c r="O16" s="58">
        <v>4289.68</v>
      </c>
      <c r="P16" s="58"/>
      <c r="Q16" s="58"/>
      <c r="R16" s="58"/>
      <c r="S16" s="58"/>
      <c r="T16" s="58">
        <v>588982.44321105059</v>
      </c>
      <c r="U16"/>
    </row>
    <row r="17" spans="1:21">
      <c r="A17" s="105" t="s">
        <v>616</v>
      </c>
      <c r="B17" s="58">
        <v>71292.68880258959</v>
      </c>
      <c r="C17" s="58">
        <v>0</v>
      </c>
      <c r="D17" s="58">
        <v>0</v>
      </c>
      <c r="E17" s="58">
        <v>94378.14</v>
      </c>
      <c r="F17" s="58">
        <v>99606.69</v>
      </c>
      <c r="G17" s="58">
        <v>114197.74</v>
      </c>
      <c r="H17" s="58">
        <v>118223.21</v>
      </c>
      <c r="I17" s="58">
        <v>122390.58</v>
      </c>
      <c r="J17" s="58">
        <v>126704.84</v>
      </c>
      <c r="K17" s="58">
        <v>131171.19</v>
      </c>
      <c r="L17" s="58">
        <v>135794.97</v>
      </c>
      <c r="M17" s="58">
        <v>145556.76999999999</v>
      </c>
      <c r="N17" s="58">
        <v>145556.76999999999</v>
      </c>
      <c r="O17" s="58">
        <v>149726.96</v>
      </c>
      <c r="P17" s="58"/>
      <c r="Q17" s="58"/>
      <c r="R17" s="58"/>
      <c r="S17" s="58"/>
      <c r="T17" s="58">
        <v>1454600.5488025895</v>
      </c>
      <c r="U17"/>
    </row>
    <row r="18" spans="1:21">
      <c r="A18" s="105" t="s">
        <v>612</v>
      </c>
      <c r="B18" s="58">
        <v>0</v>
      </c>
      <c r="C18" s="58">
        <v>0</v>
      </c>
      <c r="D18" s="58">
        <v>0</v>
      </c>
      <c r="E18" s="58">
        <v>0</v>
      </c>
      <c r="F18" s="58">
        <v>0</v>
      </c>
      <c r="G18" s="58">
        <v>0</v>
      </c>
      <c r="H18" s="58">
        <v>0</v>
      </c>
      <c r="I18" s="58">
        <v>0</v>
      </c>
      <c r="J18" s="58">
        <v>0</v>
      </c>
      <c r="K18" s="58">
        <v>0</v>
      </c>
      <c r="L18" s="58">
        <v>0</v>
      </c>
      <c r="M18" s="58">
        <v>0</v>
      </c>
      <c r="N18" s="58">
        <v>0</v>
      </c>
      <c r="O18" s="58">
        <v>0</v>
      </c>
      <c r="P18" s="58"/>
      <c r="Q18" s="58"/>
      <c r="R18" s="58"/>
      <c r="S18" s="58"/>
      <c r="T18" s="58">
        <v>0</v>
      </c>
      <c r="U18"/>
    </row>
    <row r="19" spans="1:21">
      <c r="A19" s="104" t="s">
        <v>10</v>
      </c>
      <c r="B19" s="58"/>
      <c r="C19" s="58"/>
      <c r="D19" s="58"/>
      <c r="E19" s="58"/>
      <c r="F19" s="58"/>
      <c r="G19" s="58"/>
      <c r="H19" s="58"/>
      <c r="I19" s="58"/>
      <c r="J19" s="58"/>
      <c r="K19" s="58"/>
      <c r="L19" s="58"/>
      <c r="M19" s="58"/>
      <c r="N19" s="58"/>
      <c r="O19" s="58"/>
      <c r="P19" s="58"/>
      <c r="Q19" s="58"/>
      <c r="R19" s="58"/>
      <c r="S19" s="58"/>
      <c r="T19" s="58"/>
      <c r="U19"/>
    </row>
    <row r="20" spans="1:21">
      <c r="A20" s="105" t="s">
        <v>622</v>
      </c>
      <c r="B20" s="58">
        <v>609889.04593531822</v>
      </c>
      <c r="C20" s="58">
        <v>569143</v>
      </c>
      <c r="D20" s="58">
        <v>609796.06999999995</v>
      </c>
      <c r="E20" s="58">
        <v>562889</v>
      </c>
      <c r="F20" s="58">
        <v>515981</v>
      </c>
      <c r="G20" s="58">
        <v>469074</v>
      </c>
      <c r="H20" s="58">
        <v>422167</v>
      </c>
      <c r="I20" s="58">
        <v>375259</v>
      </c>
      <c r="J20" s="58">
        <v>328352</v>
      </c>
      <c r="K20" s="58">
        <v>281444</v>
      </c>
      <c r="L20" s="58">
        <v>234537</v>
      </c>
      <c r="M20" s="58">
        <v>187630</v>
      </c>
      <c r="N20" s="58">
        <v>140722</v>
      </c>
      <c r="O20" s="58">
        <v>93815</v>
      </c>
      <c r="P20" s="58">
        <v>46907</v>
      </c>
      <c r="Q20" s="58">
        <v>0</v>
      </c>
      <c r="R20" s="58"/>
      <c r="S20" s="58"/>
      <c r="T20" s="58">
        <v>609889.04593531822</v>
      </c>
      <c r="U20"/>
    </row>
    <row r="21" spans="1:21">
      <c r="A21" s="105" t="s">
        <v>614</v>
      </c>
      <c r="B21" s="58">
        <v>0</v>
      </c>
      <c r="C21" s="58">
        <v>29226.95</v>
      </c>
      <c r="D21" s="58">
        <v>30428.82</v>
      </c>
      <c r="E21" s="58">
        <v>30428.82</v>
      </c>
      <c r="F21" s="58">
        <v>28088.15</v>
      </c>
      <c r="G21" s="58">
        <v>25747.47</v>
      </c>
      <c r="H21" s="58">
        <v>16572.38</v>
      </c>
      <c r="I21" s="58">
        <v>14915.14</v>
      </c>
      <c r="J21" s="58">
        <v>13257.9</v>
      </c>
      <c r="K21" s="58">
        <v>11600.67</v>
      </c>
      <c r="L21" s="58">
        <v>9943.43</v>
      </c>
      <c r="M21" s="58">
        <v>5259.26</v>
      </c>
      <c r="N21" s="58">
        <v>5259.26</v>
      </c>
      <c r="O21" s="58">
        <v>9189.11</v>
      </c>
      <c r="P21" s="58">
        <v>2629.63</v>
      </c>
      <c r="Q21" s="58">
        <v>1314.81</v>
      </c>
      <c r="R21" s="58"/>
      <c r="S21" s="58"/>
      <c r="T21" s="58">
        <v>233861.8</v>
      </c>
      <c r="U21"/>
    </row>
    <row r="22" spans="1:21">
      <c r="A22" s="105" t="s">
        <v>616</v>
      </c>
      <c r="B22" s="58">
        <v>0</v>
      </c>
      <c r="C22" s="58">
        <v>0</v>
      </c>
      <c r="D22" s="58">
        <v>0</v>
      </c>
      <c r="E22" s="58">
        <v>46907.39</v>
      </c>
      <c r="F22" s="58">
        <v>46907.39</v>
      </c>
      <c r="G22" s="58">
        <v>46907.39</v>
      </c>
      <c r="H22" s="58">
        <v>46907.39</v>
      </c>
      <c r="I22" s="58">
        <v>46907.39</v>
      </c>
      <c r="J22" s="58">
        <v>46907.39</v>
      </c>
      <c r="K22" s="58">
        <v>46907.39</v>
      </c>
      <c r="L22" s="58">
        <v>46907.3</v>
      </c>
      <c r="M22" s="58">
        <v>46907.39</v>
      </c>
      <c r="N22" s="58">
        <v>46907.39</v>
      </c>
      <c r="O22" s="58">
        <v>46967.39</v>
      </c>
      <c r="P22" s="58">
        <v>46907.39</v>
      </c>
      <c r="Q22" s="58">
        <v>46907.39</v>
      </c>
      <c r="R22" s="58"/>
      <c r="S22" s="58"/>
      <c r="T22" s="58">
        <v>609855.9800000001</v>
      </c>
      <c r="U22"/>
    </row>
    <row r="23" spans="1:21">
      <c r="A23" s="105" t="s">
        <v>612</v>
      </c>
      <c r="B23" s="58">
        <v>0</v>
      </c>
      <c r="C23" s="58">
        <v>0</v>
      </c>
      <c r="D23" s="58">
        <v>0</v>
      </c>
      <c r="E23" s="58">
        <v>0</v>
      </c>
      <c r="F23" s="58">
        <v>0</v>
      </c>
      <c r="G23" s="58">
        <v>0</v>
      </c>
      <c r="H23" s="58">
        <v>0</v>
      </c>
      <c r="I23" s="58">
        <v>0</v>
      </c>
      <c r="J23" s="58">
        <v>0</v>
      </c>
      <c r="K23" s="58">
        <v>0</v>
      </c>
      <c r="L23" s="58">
        <v>0</v>
      </c>
      <c r="M23" s="58">
        <v>0</v>
      </c>
      <c r="N23" s="58">
        <v>0</v>
      </c>
      <c r="O23" s="58">
        <v>0</v>
      </c>
      <c r="P23" s="58">
        <v>0</v>
      </c>
      <c r="Q23" s="58">
        <v>0</v>
      </c>
      <c r="R23" s="58"/>
      <c r="S23" s="58"/>
      <c r="T23" s="58">
        <v>0</v>
      </c>
      <c r="U23"/>
    </row>
    <row r="24" spans="1:21">
      <c r="A24" s="104" t="s">
        <v>22</v>
      </c>
      <c r="B24" s="58"/>
      <c r="C24" s="58"/>
      <c r="D24" s="58"/>
      <c r="E24" s="58"/>
      <c r="F24" s="58"/>
      <c r="G24" s="58"/>
      <c r="H24" s="58"/>
      <c r="I24" s="58"/>
      <c r="J24" s="58"/>
      <c r="K24" s="58"/>
      <c r="L24" s="58"/>
      <c r="M24" s="58"/>
      <c r="N24" s="58"/>
      <c r="O24" s="58"/>
      <c r="P24" s="58"/>
      <c r="Q24" s="58"/>
      <c r="R24" s="58"/>
      <c r="S24" s="58"/>
      <c r="T24" s="58"/>
      <c r="U24"/>
    </row>
    <row r="25" spans="1:21">
      <c r="A25" s="105" t="s">
        <v>622</v>
      </c>
      <c r="B25" s="58">
        <v>3049445.2296765912</v>
      </c>
      <c r="C25" s="58">
        <v>2896531.33</v>
      </c>
      <c r="D25" s="58">
        <v>2744082.34</v>
      </c>
      <c r="E25" s="58">
        <v>2591633</v>
      </c>
      <c r="F25" s="58">
        <v>2439184</v>
      </c>
      <c r="G25" s="58"/>
      <c r="H25" s="58"/>
      <c r="I25" s="58"/>
      <c r="J25" s="58"/>
      <c r="K25" s="58"/>
      <c r="L25" s="58"/>
      <c r="M25" s="58"/>
      <c r="N25" s="58"/>
      <c r="O25" s="58"/>
      <c r="P25" s="58"/>
      <c r="Q25" s="58"/>
      <c r="R25" s="58"/>
      <c r="S25" s="58"/>
      <c r="T25" s="58">
        <v>3049445.2296765912</v>
      </c>
      <c r="U25"/>
    </row>
    <row r="26" spans="1:21">
      <c r="A26" s="105" t="s">
        <v>614</v>
      </c>
      <c r="B26" s="58">
        <v>0</v>
      </c>
      <c r="C26" s="58">
        <v>131941.22</v>
      </c>
      <c r="D26" s="58">
        <v>123493.64</v>
      </c>
      <c r="E26" s="58">
        <v>117189.75</v>
      </c>
      <c r="F26" s="58">
        <v>110231.86</v>
      </c>
      <c r="G26" s="58"/>
      <c r="H26" s="58"/>
      <c r="I26" s="58"/>
      <c r="J26" s="58"/>
      <c r="K26" s="58"/>
      <c r="L26" s="58"/>
      <c r="M26" s="58"/>
      <c r="N26" s="58"/>
      <c r="O26" s="58"/>
      <c r="P26" s="58"/>
      <c r="Q26" s="58"/>
      <c r="R26" s="58"/>
      <c r="S26" s="58"/>
      <c r="T26" s="58">
        <v>482856.47</v>
      </c>
      <c r="U26"/>
    </row>
    <row r="27" spans="1:21">
      <c r="A27" s="105" t="s">
        <v>616</v>
      </c>
      <c r="B27" s="58">
        <v>0</v>
      </c>
      <c r="C27" s="58">
        <v>152449</v>
      </c>
      <c r="D27" s="58">
        <v>152449</v>
      </c>
      <c r="E27" s="58">
        <v>152449</v>
      </c>
      <c r="F27" s="58">
        <v>152449</v>
      </c>
      <c r="G27" s="58"/>
      <c r="H27" s="58"/>
      <c r="I27" s="58"/>
      <c r="J27" s="58"/>
      <c r="K27" s="58"/>
      <c r="L27" s="58"/>
      <c r="M27" s="58"/>
      <c r="N27" s="58"/>
      <c r="O27" s="58"/>
      <c r="P27" s="58"/>
      <c r="Q27" s="58"/>
      <c r="R27" s="58"/>
      <c r="S27" s="58"/>
      <c r="T27" s="58">
        <v>609796</v>
      </c>
      <c r="U27"/>
    </row>
    <row r="28" spans="1:21">
      <c r="A28" s="105" t="s">
        <v>612</v>
      </c>
      <c r="B28" s="58">
        <v>0</v>
      </c>
      <c r="C28" s="58">
        <v>0</v>
      </c>
      <c r="D28" s="58">
        <v>0</v>
      </c>
      <c r="E28" s="58">
        <v>0</v>
      </c>
      <c r="F28" s="58">
        <v>0</v>
      </c>
      <c r="G28" s="58">
        <v>2401000</v>
      </c>
      <c r="H28" s="58">
        <v>0</v>
      </c>
      <c r="I28" s="58">
        <v>0</v>
      </c>
      <c r="J28" s="58"/>
      <c r="K28" s="58"/>
      <c r="L28" s="58"/>
      <c r="M28" s="58">
        <v>0</v>
      </c>
      <c r="N28" s="58">
        <v>0</v>
      </c>
      <c r="O28" s="58">
        <v>0</v>
      </c>
      <c r="P28" s="58">
        <v>0</v>
      </c>
      <c r="Q28" s="58">
        <v>0</v>
      </c>
      <c r="R28" s="58">
        <v>0</v>
      </c>
      <c r="S28" s="58">
        <v>0</v>
      </c>
      <c r="T28" s="58">
        <v>2401000</v>
      </c>
      <c r="U28"/>
    </row>
    <row r="29" spans="1:21">
      <c r="A29" s="104" t="s">
        <v>33</v>
      </c>
      <c r="B29" s="58"/>
      <c r="C29" s="58"/>
      <c r="D29" s="58"/>
      <c r="E29" s="58"/>
      <c r="F29" s="58"/>
      <c r="G29" s="58"/>
      <c r="H29" s="58"/>
      <c r="I29" s="58"/>
      <c r="J29" s="58"/>
      <c r="K29" s="58"/>
      <c r="L29" s="58"/>
      <c r="M29" s="58"/>
      <c r="N29" s="58"/>
      <c r="O29" s="58"/>
      <c r="P29" s="58"/>
      <c r="Q29" s="58"/>
      <c r="R29" s="58"/>
      <c r="S29" s="58"/>
      <c r="T29" s="58"/>
      <c r="U29"/>
    </row>
    <row r="30" spans="1:21">
      <c r="A30" s="105" t="s">
        <v>622</v>
      </c>
      <c r="B30" s="58"/>
      <c r="C30" s="58">
        <v>13097112.84</v>
      </c>
      <c r="D30" s="58">
        <v>12418354.060000001</v>
      </c>
      <c r="E30" s="58">
        <v>11715839</v>
      </c>
      <c r="F30" s="58">
        <v>10988735</v>
      </c>
      <c r="G30" s="58">
        <v>10236183</v>
      </c>
      <c r="H30" s="58">
        <v>9457292</v>
      </c>
      <c r="I30" s="58">
        <v>8651140</v>
      </c>
      <c r="J30" s="58">
        <v>7816772</v>
      </c>
      <c r="K30" s="58">
        <v>6953201</v>
      </c>
      <c r="L30" s="58">
        <v>6059405</v>
      </c>
      <c r="M30" s="58">
        <v>5134327</v>
      </c>
      <c r="N30" s="58">
        <v>4176870</v>
      </c>
      <c r="O30" s="58">
        <v>3185903</v>
      </c>
      <c r="P30" s="58">
        <v>2160252</v>
      </c>
      <c r="Q30" s="58">
        <v>1098793</v>
      </c>
      <c r="R30" s="58">
        <v>0</v>
      </c>
      <c r="S30" s="58"/>
      <c r="T30" s="58">
        <v>13097112.84</v>
      </c>
      <c r="U30"/>
    </row>
    <row r="31" spans="1:21">
      <c r="A31" s="105" t="s">
        <v>614</v>
      </c>
      <c r="B31" s="58"/>
      <c r="C31" s="58">
        <v>211666.26</v>
      </c>
      <c r="D31" s="58">
        <v>458398.95</v>
      </c>
      <c r="E31" s="58">
        <v>434642.39</v>
      </c>
      <c r="F31" s="58">
        <v>410054.36</v>
      </c>
      <c r="G31" s="58">
        <v>281272.55</v>
      </c>
      <c r="H31" s="58">
        <v>392216.43</v>
      </c>
      <c r="I31" s="58">
        <v>364368.45</v>
      </c>
      <c r="J31" s="58">
        <v>166654.59</v>
      </c>
      <c r="K31" s="58">
        <v>150581.42000000001</v>
      </c>
      <c r="L31" s="58">
        <v>43109.85</v>
      </c>
      <c r="M31" s="58">
        <v>13266.7</v>
      </c>
      <c r="N31" s="58">
        <v>13312.68</v>
      </c>
      <c r="O31" s="58">
        <v>9189.11</v>
      </c>
      <c r="P31" s="58">
        <v>4460.26</v>
      </c>
      <c r="Q31" s="58">
        <v>0</v>
      </c>
      <c r="R31" s="58">
        <v>0</v>
      </c>
      <c r="S31" s="58"/>
      <c r="T31" s="58">
        <v>2953194</v>
      </c>
      <c r="U31"/>
    </row>
    <row r="32" spans="1:21">
      <c r="A32" s="105" t="s">
        <v>616</v>
      </c>
      <c r="B32" s="58"/>
      <c r="C32" s="58">
        <v>0</v>
      </c>
      <c r="D32" s="58">
        <v>678758.78</v>
      </c>
      <c r="E32" s="58">
        <v>702515.34</v>
      </c>
      <c r="F32" s="58">
        <v>727103.38</v>
      </c>
      <c r="G32" s="58">
        <v>752551.99</v>
      </c>
      <c r="H32" s="58">
        <v>778891.31</v>
      </c>
      <c r="I32" s="58">
        <v>806152.51</v>
      </c>
      <c r="J32" s="58">
        <v>834367.85</v>
      </c>
      <c r="K32" s="58">
        <v>863570.72</v>
      </c>
      <c r="L32" s="58">
        <v>893795.7</v>
      </c>
      <c r="M32" s="58">
        <v>957458.29</v>
      </c>
      <c r="N32" s="58">
        <v>957456.29</v>
      </c>
      <c r="O32" s="58">
        <v>990967.27</v>
      </c>
      <c r="P32" s="58">
        <v>1025651.12</v>
      </c>
      <c r="Q32" s="58">
        <v>1061548.9099999999</v>
      </c>
      <c r="R32" s="58">
        <v>1098703.1200000001</v>
      </c>
      <c r="S32" s="58"/>
      <c r="T32" s="58">
        <v>13129492.579999998</v>
      </c>
      <c r="U32"/>
    </row>
    <row r="33" spans="1:21">
      <c r="A33" s="105" t="s">
        <v>612</v>
      </c>
      <c r="B33" s="58"/>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row>
    <row r="34" spans="1:21">
      <c r="A34" s="104" t="s">
        <v>28</v>
      </c>
      <c r="B34" s="58"/>
      <c r="C34" s="58"/>
      <c r="D34" s="58"/>
      <c r="E34" s="58"/>
      <c r="F34" s="58"/>
      <c r="G34" s="58"/>
      <c r="H34" s="58"/>
      <c r="I34" s="58"/>
      <c r="J34" s="58"/>
      <c r="K34" s="58"/>
      <c r="L34" s="58"/>
      <c r="M34" s="58"/>
      <c r="N34" s="58"/>
      <c r="O34" s="58"/>
      <c r="P34" s="58"/>
      <c r="Q34" s="58"/>
      <c r="R34" s="58"/>
      <c r="S34" s="58"/>
      <c r="T34" s="58"/>
      <c r="U34"/>
    </row>
    <row r="35" spans="1:21">
      <c r="A35" s="105" t="s">
        <v>622</v>
      </c>
      <c r="B35" s="58"/>
      <c r="C35" s="58">
        <v>2137796</v>
      </c>
      <c r="D35" s="58">
        <v>2058236.41</v>
      </c>
      <c r="E35" s="58">
        <v>1976290</v>
      </c>
      <c r="F35" s="58">
        <v>1886019</v>
      </c>
      <c r="G35" s="58">
        <v>1793716</v>
      </c>
      <c r="H35" s="58">
        <v>1699337</v>
      </c>
      <c r="I35" s="58">
        <v>1606283</v>
      </c>
      <c r="J35" s="58">
        <v>1519614</v>
      </c>
      <c r="K35" s="58">
        <v>1419246</v>
      </c>
      <c r="L35" s="58">
        <v>1308888</v>
      </c>
      <c r="M35" s="58">
        <v>1201326</v>
      </c>
      <c r="N35" s="58">
        <v>1092861</v>
      </c>
      <c r="O35" s="58">
        <v>979687</v>
      </c>
      <c r="P35" s="58">
        <v>862484</v>
      </c>
      <c r="Q35" s="58">
        <v>742919</v>
      </c>
      <c r="R35" s="58">
        <v>621400</v>
      </c>
      <c r="S35" s="58">
        <v>498971</v>
      </c>
      <c r="T35" s="58">
        <v>2137796</v>
      </c>
      <c r="U35"/>
    </row>
    <row r="36" spans="1:21">
      <c r="A36" s="105" t="s">
        <v>614</v>
      </c>
      <c r="B36" s="58"/>
      <c r="C36" s="58">
        <v>0</v>
      </c>
      <c r="D36" s="58">
        <v>62173.25</v>
      </c>
      <c r="E36" s="58">
        <v>61747.09</v>
      </c>
      <c r="F36" s="58">
        <v>44466.53</v>
      </c>
      <c r="G36" s="58">
        <v>42435.42</v>
      </c>
      <c r="H36" s="58">
        <v>40353.61</v>
      </c>
      <c r="I36" s="58">
        <v>46731.76</v>
      </c>
      <c r="J36" s="58">
        <v>56219.89</v>
      </c>
      <c r="K36" s="58">
        <v>37990.35</v>
      </c>
      <c r="L36" s="58">
        <v>17740.57</v>
      </c>
      <c r="M36" s="58">
        <v>27029.84</v>
      </c>
      <c r="N36" s="58">
        <v>27029.84</v>
      </c>
      <c r="O36" s="58">
        <v>19125.07</v>
      </c>
      <c r="P36" s="58">
        <v>12246.08</v>
      </c>
      <c r="Q36" s="58">
        <v>8624.84</v>
      </c>
      <c r="R36" s="58">
        <v>5571.89</v>
      </c>
      <c r="S36" s="58">
        <v>4660.5</v>
      </c>
      <c r="T36" s="58">
        <v>514146.53000000009</v>
      </c>
      <c r="U36"/>
    </row>
    <row r="37" spans="1:21">
      <c r="A37" s="105" t="s">
        <v>616</v>
      </c>
      <c r="B37" s="58"/>
      <c r="C37" s="58">
        <v>0</v>
      </c>
      <c r="D37" s="58">
        <v>79559.59</v>
      </c>
      <c r="E37" s="58">
        <v>81946.38</v>
      </c>
      <c r="F37" s="58">
        <v>90271.38</v>
      </c>
      <c r="G37" s="58">
        <v>92302.49</v>
      </c>
      <c r="H37" s="58">
        <v>94379.3</v>
      </c>
      <c r="I37" s="58">
        <v>93054.28</v>
      </c>
      <c r="J37" s="58">
        <v>86668.71</v>
      </c>
      <c r="K37" s="58">
        <v>100367.87</v>
      </c>
      <c r="L37" s="58">
        <v>110358.16</v>
      </c>
      <c r="M37" s="58">
        <v>107859.06</v>
      </c>
      <c r="N37" s="58">
        <v>108464.95</v>
      </c>
      <c r="O37" s="58">
        <v>113174.66</v>
      </c>
      <c r="P37" s="58">
        <v>117202.97</v>
      </c>
      <c r="Q37" s="58">
        <v>119564.61</v>
      </c>
      <c r="R37" s="58">
        <v>121518.44</v>
      </c>
      <c r="S37" s="58">
        <v>122429.83</v>
      </c>
      <c r="T37" s="58">
        <v>1639122.68</v>
      </c>
      <c r="U37"/>
    </row>
    <row r="38" spans="1:21">
      <c r="A38" s="105" t="s">
        <v>612</v>
      </c>
      <c r="B38" s="58"/>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row>
    <row r="39" spans="1:21">
      <c r="A39" s="104" t="s">
        <v>31</v>
      </c>
      <c r="B39" s="58"/>
      <c r="C39" s="58"/>
      <c r="D39" s="58"/>
      <c r="E39" s="58"/>
      <c r="F39" s="58"/>
      <c r="G39" s="58"/>
      <c r="H39" s="58"/>
      <c r="I39" s="58"/>
      <c r="J39" s="58"/>
      <c r="K39" s="58"/>
      <c r="L39" s="58"/>
      <c r="M39" s="58"/>
      <c r="N39" s="58"/>
      <c r="O39" s="58"/>
      <c r="P39" s="58"/>
      <c r="Q39" s="58"/>
      <c r="R39" s="58"/>
      <c r="S39" s="58"/>
      <c r="T39" s="58"/>
      <c r="U39"/>
    </row>
    <row r="40" spans="1:21">
      <c r="A40" s="105" t="s">
        <v>622</v>
      </c>
      <c r="B40" s="58"/>
      <c r="C40" s="58">
        <v>4722409</v>
      </c>
      <c r="D40" s="58">
        <v>4567085.41</v>
      </c>
      <c r="E40" s="58">
        <v>4405238</v>
      </c>
      <c r="F40" s="58">
        <v>0</v>
      </c>
      <c r="G40" s="58"/>
      <c r="H40" s="58"/>
      <c r="I40" s="58"/>
      <c r="J40" s="58"/>
      <c r="K40" s="58"/>
      <c r="L40" s="58"/>
      <c r="M40" s="58"/>
      <c r="N40" s="58"/>
      <c r="O40" s="58"/>
      <c r="P40" s="58"/>
      <c r="Q40" s="58"/>
      <c r="R40" s="58"/>
      <c r="S40" s="58"/>
      <c r="T40" s="58">
        <v>4722409</v>
      </c>
      <c r="U40"/>
    </row>
    <row r="41" spans="1:21">
      <c r="A41" s="105" t="s">
        <v>614</v>
      </c>
      <c r="B41" s="58"/>
      <c r="C41" s="58">
        <v>0</v>
      </c>
      <c r="D41" s="58">
        <v>207779.36</v>
      </c>
      <c r="E41" s="58">
        <v>191817.59</v>
      </c>
      <c r="F41" s="58">
        <v>151980.72</v>
      </c>
      <c r="G41" s="58"/>
      <c r="H41" s="58"/>
      <c r="I41" s="58"/>
      <c r="J41" s="58"/>
      <c r="K41" s="58"/>
      <c r="L41" s="58"/>
      <c r="M41" s="58"/>
      <c r="N41" s="58"/>
      <c r="O41" s="58"/>
      <c r="P41" s="58"/>
      <c r="Q41" s="58"/>
      <c r="R41" s="58"/>
      <c r="S41" s="58"/>
      <c r="T41" s="58">
        <v>551577.66999999993</v>
      </c>
      <c r="U41"/>
    </row>
    <row r="42" spans="1:21">
      <c r="A42" s="105" t="s">
        <v>616</v>
      </c>
      <c r="B42" s="58"/>
      <c r="C42" s="58">
        <v>0</v>
      </c>
      <c r="D42" s="58">
        <v>155323.59</v>
      </c>
      <c r="E42" s="58">
        <v>161847.18</v>
      </c>
      <c r="F42" s="58">
        <v>4405238.2300000004</v>
      </c>
      <c r="G42" s="58"/>
      <c r="H42" s="58"/>
      <c r="I42" s="58"/>
      <c r="J42" s="58"/>
      <c r="K42" s="58"/>
      <c r="L42" s="58"/>
      <c r="M42" s="58"/>
      <c r="N42" s="58"/>
      <c r="O42" s="58"/>
      <c r="P42" s="58"/>
      <c r="Q42" s="58"/>
      <c r="R42" s="58"/>
      <c r="S42" s="58"/>
      <c r="T42" s="58">
        <v>4722409</v>
      </c>
      <c r="U42"/>
    </row>
    <row r="43" spans="1:21">
      <c r="A43" s="105" t="s">
        <v>612</v>
      </c>
      <c r="B43" s="58"/>
      <c r="C43" s="58">
        <v>0</v>
      </c>
      <c r="D43" s="58">
        <v>0</v>
      </c>
      <c r="E43" s="58">
        <v>0</v>
      </c>
      <c r="F43" s="58">
        <v>0</v>
      </c>
      <c r="G43" s="58">
        <v>0</v>
      </c>
      <c r="H43" s="58">
        <v>0</v>
      </c>
      <c r="I43" s="58">
        <v>0</v>
      </c>
      <c r="J43" s="58">
        <v>0</v>
      </c>
      <c r="K43" s="58">
        <v>0</v>
      </c>
      <c r="L43" s="58">
        <v>0</v>
      </c>
      <c r="M43" s="58">
        <v>0</v>
      </c>
      <c r="N43" s="58">
        <v>0</v>
      </c>
      <c r="O43" s="58">
        <v>0</v>
      </c>
      <c r="P43" s="58">
        <v>0</v>
      </c>
      <c r="Q43" s="58">
        <v>0</v>
      </c>
      <c r="R43" s="58">
        <v>0</v>
      </c>
      <c r="S43" s="58">
        <v>0</v>
      </c>
      <c r="T43" s="58">
        <v>0</v>
      </c>
      <c r="U43"/>
    </row>
    <row r="44" spans="1:21">
      <c r="A44" s="104" t="s">
        <v>43</v>
      </c>
      <c r="B44" s="58"/>
      <c r="C44" s="58"/>
      <c r="D44" s="58"/>
      <c r="E44" s="58"/>
      <c r="F44" s="58"/>
      <c r="G44" s="58"/>
      <c r="H44" s="58"/>
      <c r="I44" s="58"/>
      <c r="J44" s="58"/>
      <c r="K44" s="58"/>
      <c r="L44" s="58"/>
      <c r="M44" s="58"/>
      <c r="N44" s="58"/>
      <c r="O44" s="58"/>
      <c r="P44" s="58"/>
      <c r="Q44" s="58"/>
      <c r="R44" s="58"/>
      <c r="S44" s="58"/>
      <c r="T44" s="58"/>
      <c r="U44"/>
    </row>
    <row r="45" spans="1:21">
      <c r="A45" s="105" t="s">
        <v>622</v>
      </c>
      <c r="B45" s="58"/>
      <c r="C45" s="58">
        <v>4603414.62</v>
      </c>
      <c r="D45" s="58">
        <v>4484414.62</v>
      </c>
      <c r="E45" s="58">
        <v>4286415</v>
      </c>
      <c r="F45" s="58">
        <v>0</v>
      </c>
      <c r="G45" s="58"/>
      <c r="H45" s="58"/>
      <c r="I45" s="58"/>
      <c r="J45" s="58"/>
      <c r="K45" s="58"/>
      <c r="L45" s="58"/>
      <c r="M45" s="58"/>
      <c r="N45" s="58"/>
      <c r="O45" s="58"/>
      <c r="P45" s="58"/>
      <c r="Q45" s="58"/>
      <c r="R45" s="58"/>
      <c r="S45" s="58"/>
      <c r="T45" s="58">
        <v>4603414.62</v>
      </c>
      <c r="U45"/>
    </row>
    <row r="46" spans="1:21">
      <c r="A46" s="105" t="s">
        <v>614</v>
      </c>
      <c r="B46" s="58"/>
      <c r="C46" s="58">
        <v>113642.96</v>
      </c>
      <c r="D46" s="58">
        <v>223964.19</v>
      </c>
      <c r="E46" s="58">
        <v>217763.19</v>
      </c>
      <c r="F46" s="58">
        <v>139172.72</v>
      </c>
      <c r="G46" s="58"/>
      <c r="H46" s="58"/>
      <c r="I46" s="58"/>
      <c r="J46" s="58"/>
      <c r="K46" s="58"/>
      <c r="L46" s="58"/>
      <c r="M46" s="58"/>
      <c r="N46" s="58"/>
      <c r="O46" s="58"/>
      <c r="P46" s="58"/>
      <c r="Q46" s="58"/>
      <c r="R46" s="58"/>
      <c r="S46" s="58"/>
      <c r="T46" s="58">
        <v>694543.06</v>
      </c>
      <c r="U46"/>
    </row>
    <row r="47" spans="1:21">
      <c r="A47" s="105" t="s">
        <v>616</v>
      </c>
      <c r="B47" s="58"/>
      <c r="C47" s="58">
        <v>0</v>
      </c>
      <c r="D47" s="58">
        <v>119000</v>
      </c>
      <c r="E47" s="58">
        <v>198000</v>
      </c>
      <c r="F47" s="58">
        <v>0</v>
      </c>
      <c r="G47" s="58"/>
      <c r="H47" s="58"/>
      <c r="I47" s="58"/>
      <c r="J47" s="58"/>
      <c r="K47" s="58"/>
      <c r="L47" s="58"/>
      <c r="M47" s="58"/>
      <c r="N47" s="58"/>
      <c r="O47" s="58"/>
      <c r="P47" s="58"/>
      <c r="Q47" s="58"/>
      <c r="R47" s="58"/>
      <c r="S47" s="58"/>
      <c r="T47" s="58">
        <v>317000</v>
      </c>
      <c r="U47"/>
    </row>
    <row r="48" spans="1:21">
      <c r="A48" s="105" t="s">
        <v>612</v>
      </c>
      <c r="B48" s="58"/>
      <c r="C48" s="58">
        <v>0</v>
      </c>
      <c r="D48" s="58">
        <v>0</v>
      </c>
      <c r="E48" s="58">
        <v>0</v>
      </c>
      <c r="F48" s="58">
        <v>4286000</v>
      </c>
      <c r="G48" s="58">
        <v>0</v>
      </c>
      <c r="H48" s="58"/>
      <c r="I48" s="58">
        <v>0</v>
      </c>
      <c r="J48" s="58"/>
      <c r="K48" s="58"/>
      <c r="L48" s="58"/>
      <c r="M48" s="58">
        <v>0</v>
      </c>
      <c r="N48" s="58">
        <v>0</v>
      </c>
      <c r="O48" s="58">
        <v>0</v>
      </c>
      <c r="P48" s="58">
        <v>0</v>
      </c>
      <c r="Q48" s="58">
        <v>0</v>
      </c>
      <c r="R48" s="58">
        <v>0</v>
      </c>
      <c r="S48" s="58">
        <v>0</v>
      </c>
      <c r="T48" s="58">
        <v>4286000</v>
      </c>
      <c r="U48"/>
    </row>
    <row r="49" spans="1:21">
      <c r="A49" s="104" t="s">
        <v>46</v>
      </c>
      <c r="B49" s="58"/>
      <c r="C49" s="58"/>
      <c r="D49" s="58"/>
      <c r="E49" s="58"/>
      <c r="F49" s="58"/>
      <c r="G49" s="58"/>
      <c r="H49" s="58"/>
      <c r="I49" s="58"/>
      <c r="J49" s="58"/>
      <c r="K49" s="58"/>
      <c r="L49" s="58"/>
      <c r="M49" s="58"/>
      <c r="N49" s="58"/>
      <c r="O49" s="58"/>
      <c r="P49" s="58"/>
      <c r="Q49" s="58"/>
      <c r="R49" s="58"/>
      <c r="S49" s="58"/>
      <c r="T49" s="58"/>
      <c r="U49"/>
    </row>
    <row r="50" spans="1:21">
      <c r="A50" s="105" t="s">
        <v>622</v>
      </c>
      <c r="B50" s="58"/>
      <c r="C50" s="58">
        <v>12864467.300000001</v>
      </c>
      <c r="D50" s="58">
        <v>12533467.300000001</v>
      </c>
      <c r="E50" s="58">
        <v>0</v>
      </c>
      <c r="F50" s="58"/>
      <c r="G50" s="58"/>
      <c r="H50" s="58"/>
      <c r="I50" s="58"/>
      <c r="J50" s="58"/>
      <c r="K50" s="58"/>
      <c r="L50" s="58"/>
      <c r="M50" s="58"/>
      <c r="N50" s="58"/>
      <c r="O50" s="58"/>
      <c r="P50" s="58"/>
      <c r="Q50" s="58"/>
      <c r="R50" s="58"/>
      <c r="S50" s="58"/>
      <c r="T50" s="58">
        <v>12864467.300000001</v>
      </c>
      <c r="U50"/>
    </row>
    <row r="51" spans="1:21">
      <c r="A51" s="105" t="s">
        <v>614</v>
      </c>
      <c r="B51" s="58"/>
      <c r="C51" s="58">
        <v>317580.82</v>
      </c>
      <c r="D51" s="58">
        <v>625898.04</v>
      </c>
      <c r="E51" s="58">
        <v>270733.34999999998</v>
      </c>
      <c r="F51" s="58"/>
      <c r="G51" s="58"/>
      <c r="H51" s="58"/>
      <c r="I51" s="58"/>
      <c r="J51" s="58"/>
      <c r="K51" s="58"/>
      <c r="L51" s="58"/>
      <c r="M51" s="58"/>
      <c r="N51" s="58"/>
      <c r="O51" s="58"/>
      <c r="P51" s="58"/>
      <c r="Q51" s="58"/>
      <c r="R51" s="58"/>
      <c r="S51" s="58"/>
      <c r="T51" s="58">
        <v>1214212.21</v>
      </c>
      <c r="U51"/>
    </row>
    <row r="52" spans="1:21">
      <c r="A52" s="105" t="s">
        <v>616</v>
      </c>
      <c r="B52" s="58"/>
      <c r="C52" s="58">
        <v>0</v>
      </c>
      <c r="D52" s="58">
        <v>331000</v>
      </c>
      <c r="E52" s="58">
        <v>0</v>
      </c>
      <c r="F52" s="58"/>
      <c r="G52" s="58"/>
      <c r="H52" s="58"/>
      <c r="I52" s="58"/>
      <c r="J52" s="58"/>
      <c r="K52" s="58"/>
      <c r="L52" s="58"/>
      <c r="M52" s="58"/>
      <c r="N52" s="58"/>
      <c r="O52" s="58"/>
      <c r="P52" s="58"/>
      <c r="Q52" s="58"/>
      <c r="R52" s="58"/>
      <c r="S52" s="58"/>
      <c r="T52" s="58">
        <v>331000</v>
      </c>
      <c r="U52"/>
    </row>
    <row r="53" spans="1:21">
      <c r="A53" s="105" t="s">
        <v>612</v>
      </c>
      <c r="B53" s="58"/>
      <c r="C53" s="58">
        <v>0</v>
      </c>
      <c r="D53" s="58">
        <v>0</v>
      </c>
      <c r="E53" s="58">
        <v>12533000</v>
      </c>
      <c r="F53" s="58">
        <v>0</v>
      </c>
      <c r="G53" s="58"/>
      <c r="H53" s="58"/>
      <c r="I53" s="58">
        <v>0</v>
      </c>
      <c r="J53" s="58"/>
      <c r="K53" s="58"/>
      <c r="L53" s="58"/>
      <c r="M53" s="58">
        <v>0</v>
      </c>
      <c r="N53" s="58">
        <v>0</v>
      </c>
      <c r="O53" s="58">
        <v>0</v>
      </c>
      <c r="P53" s="58">
        <v>0</v>
      </c>
      <c r="Q53" s="58">
        <v>0</v>
      </c>
      <c r="R53" s="58">
        <v>0</v>
      </c>
      <c r="S53" s="58">
        <v>0</v>
      </c>
      <c r="T53" s="58">
        <v>12533000</v>
      </c>
      <c r="U53"/>
    </row>
    <row r="54" spans="1:21">
      <c r="A54" s="104" t="s">
        <v>38</v>
      </c>
      <c r="B54" s="58"/>
      <c r="C54" s="58"/>
      <c r="D54" s="58"/>
      <c r="E54" s="58"/>
      <c r="F54" s="58"/>
      <c r="G54" s="58"/>
      <c r="H54" s="58"/>
      <c r="I54" s="58"/>
      <c r="J54" s="58"/>
      <c r="K54" s="58"/>
      <c r="L54" s="58"/>
      <c r="M54" s="58"/>
      <c r="N54" s="58"/>
      <c r="O54" s="58"/>
      <c r="P54" s="58"/>
      <c r="Q54" s="58"/>
      <c r="R54" s="58"/>
      <c r="S54" s="58"/>
      <c r="T54" s="58"/>
      <c r="U54"/>
    </row>
    <row r="55" spans="1:21">
      <c r="A55" s="105" t="s">
        <v>622</v>
      </c>
      <c r="B55" s="58"/>
      <c r="C55" s="58">
        <v>13276172.539999999</v>
      </c>
      <c r="D55" s="58">
        <v>12976173</v>
      </c>
      <c r="E55" s="58">
        <v>0</v>
      </c>
      <c r="F55" s="58"/>
      <c r="G55" s="58"/>
      <c r="H55" s="58"/>
      <c r="I55" s="58"/>
      <c r="J55" s="58"/>
      <c r="K55" s="58"/>
      <c r="L55" s="58"/>
      <c r="M55" s="58"/>
      <c r="N55" s="58"/>
      <c r="O55" s="58"/>
      <c r="P55" s="58"/>
      <c r="Q55" s="58"/>
      <c r="R55" s="58"/>
      <c r="S55" s="58"/>
      <c r="T55" s="58">
        <v>13276172.539999999</v>
      </c>
      <c r="U55"/>
    </row>
    <row r="56" spans="1:21">
      <c r="A56" s="105" t="s">
        <v>614</v>
      </c>
      <c r="B56" s="58"/>
      <c r="C56" s="58">
        <v>275480.58</v>
      </c>
      <c r="D56" s="58">
        <v>666518.07999999996</v>
      </c>
      <c r="E56" s="58">
        <v>344647.14</v>
      </c>
      <c r="F56" s="58"/>
      <c r="G56" s="58"/>
      <c r="H56" s="58"/>
      <c r="I56" s="58"/>
      <c r="J56" s="58"/>
      <c r="K56" s="58"/>
      <c r="L56" s="58"/>
      <c r="M56" s="58"/>
      <c r="N56" s="58"/>
      <c r="O56" s="58"/>
      <c r="P56" s="58"/>
      <c r="Q56" s="58"/>
      <c r="R56" s="58"/>
      <c r="S56" s="58"/>
      <c r="T56" s="58">
        <v>1286645.7999999998</v>
      </c>
      <c r="U56"/>
    </row>
    <row r="57" spans="1:21">
      <c r="A57" s="105" t="s">
        <v>616</v>
      </c>
      <c r="B57" s="58"/>
      <c r="C57" s="58">
        <v>0</v>
      </c>
      <c r="D57" s="58">
        <v>300000</v>
      </c>
      <c r="E57" s="58">
        <v>0</v>
      </c>
      <c r="F57" s="58"/>
      <c r="G57" s="58"/>
      <c r="H57" s="58"/>
      <c r="I57" s="58"/>
      <c r="J57" s="58"/>
      <c r="K57" s="58"/>
      <c r="L57" s="58"/>
      <c r="M57" s="58"/>
      <c r="N57" s="58"/>
      <c r="O57" s="58"/>
      <c r="P57" s="58"/>
      <c r="Q57" s="58"/>
      <c r="R57" s="58"/>
      <c r="S57" s="58"/>
      <c r="T57" s="58">
        <v>300000</v>
      </c>
      <c r="U57"/>
    </row>
    <row r="58" spans="1:21">
      <c r="A58" s="105" t="s">
        <v>612</v>
      </c>
      <c r="B58" s="58"/>
      <c r="C58" s="58">
        <v>0</v>
      </c>
      <c r="D58" s="58">
        <v>0</v>
      </c>
      <c r="E58" s="58">
        <v>12976000</v>
      </c>
      <c r="F58" s="58">
        <v>0</v>
      </c>
      <c r="G58" s="58"/>
      <c r="H58" s="58"/>
      <c r="I58" s="58">
        <v>0</v>
      </c>
      <c r="J58" s="58"/>
      <c r="K58" s="58"/>
      <c r="L58" s="58"/>
      <c r="M58" s="58"/>
      <c r="N58" s="58">
        <v>0</v>
      </c>
      <c r="O58" s="58">
        <v>0</v>
      </c>
      <c r="P58" s="58">
        <v>0</v>
      </c>
      <c r="Q58" s="58">
        <v>0</v>
      </c>
      <c r="R58" s="58">
        <v>0</v>
      </c>
      <c r="S58" s="58">
        <v>0</v>
      </c>
      <c r="T58" s="58">
        <v>12976000</v>
      </c>
      <c r="U58"/>
    </row>
    <row r="59" spans="1:21">
      <c r="A59" s="104" t="s">
        <v>51</v>
      </c>
      <c r="B59" s="58"/>
      <c r="C59" s="58"/>
      <c r="D59" s="58"/>
      <c r="E59" s="58"/>
      <c r="F59" s="58"/>
      <c r="G59" s="58"/>
      <c r="H59" s="58"/>
      <c r="I59" s="58"/>
      <c r="J59" s="58"/>
      <c r="K59" s="58"/>
      <c r="L59" s="58"/>
      <c r="M59" s="58"/>
      <c r="N59" s="58"/>
      <c r="O59" s="58"/>
      <c r="P59" s="58"/>
      <c r="Q59" s="58"/>
      <c r="R59" s="58"/>
      <c r="S59" s="58"/>
      <c r="T59" s="58"/>
      <c r="U59"/>
    </row>
    <row r="60" spans="1:21">
      <c r="A60" s="105" t="s">
        <v>622</v>
      </c>
      <c r="B60" s="58"/>
      <c r="C60" s="58">
        <v>5216728.38</v>
      </c>
      <c r="D60" s="58">
        <v>4566728.38</v>
      </c>
      <c r="E60" s="58">
        <v>0</v>
      </c>
      <c r="F60" s="58"/>
      <c r="G60" s="58"/>
      <c r="H60" s="58"/>
      <c r="I60" s="58"/>
      <c r="J60" s="58"/>
      <c r="K60" s="58"/>
      <c r="L60" s="58"/>
      <c r="M60" s="58"/>
      <c r="N60" s="58"/>
      <c r="O60" s="58"/>
      <c r="P60" s="58"/>
      <c r="Q60" s="58"/>
      <c r="R60" s="58"/>
      <c r="S60" s="58"/>
      <c r="T60" s="58">
        <v>5216728.38</v>
      </c>
      <c r="U60"/>
    </row>
    <row r="61" spans="1:21">
      <c r="A61" s="105" t="s">
        <v>614</v>
      </c>
      <c r="B61" s="58"/>
      <c r="C61" s="58">
        <v>0</v>
      </c>
      <c r="D61" s="58">
        <v>58531.69</v>
      </c>
      <c r="E61" s="58">
        <v>100135.55</v>
      </c>
      <c r="F61" s="58"/>
      <c r="G61" s="58"/>
      <c r="H61" s="58"/>
      <c r="I61" s="58"/>
      <c r="J61" s="58"/>
      <c r="K61" s="58"/>
      <c r="L61" s="58"/>
      <c r="M61" s="58"/>
      <c r="N61" s="58"/>
      <c r="O61" s="58"/>
      <c r="P61" s="58"/>
      <c r="Q61" s="58"/>
      <c r="R61" s="58"/>
      <c r="S61" s="58"/>
      <c r="T61" s="58">
        <v>158667.24</v>
      </c>
      <c r="U61"/>
    </row>
    <row r="62" spans="1:21">
      <c r="A62" s="105" t="s">
        <v>616</v>
      </c>
      <c r="B62" s="58"/>
      <c r="C62" s="58">
        <v>0</v>
      </c>
      <c r="D62" s="58">
        <v>650000</v>
      </c>
      <c r="E62" s="58">
        <v>650000</v>
      </c>
      <c r="F62" s="58"/>
      <c r="G62" s="58"/>
      <c r="H62" s="58"/>
      <c r="I62" s="58"/>
      <c r="J62" s="58"/>
      <c r="K62" s="58"/>
      <c r="L62" s="58"/>
      <c r="M62" s="58"/>
      <c r="N62" s="58"/>
      <c r="O62" s="58"/>
      <c r="P62" s="58"/>
      <c r="Q62" s="58"/>
      <c r="R62" s="58"/>
      <c r="S62" s="58"/>
      <c r="T62" s="58">
        <v>1300000</v>
      </c>
      <c r="U62"/>
    </row>
    <row r="63" spans="1:21">
      <c r="A63" s="105" t="s">
        <v>612</v>
      </c>
      <c r="B63" s="58"/>
      <c r="C63" s="58">
        <v>0</v>
      </c>
      <c r="D63" s="58">
        <v>0</v>
      </c>
      <c r="E63" s="58">
        <v>3917000</v>
      </c>
      <c r="F63" s="58">
        <v>0</v>
      </c>
      <c r="G63" s="58"/>
      <c r="H63" s="58"/>
      <c r="I63" s="58">
        <v>0</v>
      </c>
      <c r="J63" s="58"/>
      <c r="K63" s="58"/>
      <c r="L63" s="58"/>
      <c r="M63" s="58"/>
      <c r="N63" s="58">
        <v>0</v>
      </c>
      <c r="O63" s="58">
        <v>0</v>
      </c>
      <c r="P63" s="58">
        <v>0</v>
      </c>
      <c r="Q63" s="58">
        <v>0</v>
      </c>
      <c r="R63" s="58">
        <v>0</v>
      </c>
      <c r="S63" s="58">
        <v>0</v>
      </c>
      <c r="T63" s="58">
        <v>3917000</v>
      </c>
      <c r="U63"/>
    </row>
    <row r="64" spans="1:21">
      <c r="A64" s="104" t="s">
        <v>47</v>
      </c>
      <c r="B64" s="58"/>
      <c r="C64" s="58"/>
      <c r="D64" s="58"/>
      <c r="E64" s="58"/>
      <c r="F64" s="58"/>
      <c r="G64" s="58"/>
      <c r="H64" s="58"/>
      <c r="I64" s="58"/>
      <c r="J64" s="58"/>
      <c r="K64" s="58"/>
      <c r="L64" s="58"/>
      <c r="M64" s="58"/>
      <c r="N64" s="58"/>
      <c r="O64" s="58"/>
      <c r="P64" s="58"/>
      <c r="Q64" s="58"/>
      <c r="R64" s="58"/>
      <c r="S64" s="58"/>
      <c r="T64" s="58"/>
      <c r="U64"/>
    </row>
    <row r="65" spans="1:21">
      <c r="A65" s="105" t="s">
        <v>622</v>
      </c>
      <c r="B65" s="58"/>
      <c r="C65" s="58">
        <v>9827176.1899999995</v>
      </c>
      <c r="D65" s="58">
        <v>9023287.25</v>
      </c>
      <c r="E65" s="58">
        <v>0</v>
      </c>
      <c r="F65" s="58"/>
      <c r="G65" s="58"/>
      <c r="H65" s="58"/>
      <c r="I65" s="58"/>
      <c r="J65" s="58"/>
      <c r="K65" s="58"/>
      <c r="L65" s="58"/>
      <c r="M65" s="58"/>
      <c r="N65" s="58"/>
      <c r="O65" s="58"/>
      <c r="P65" s="58"/>
      <c r="Q65" s="58"/>
      <c r="R65" s="58"/>
      <c r="S65" s="58"/>
      <c r="T65" s="58">
        <v>9827176.1899999995</v>
      </c>
      <c r="U65"/>
    </row>
    <row r="66" spans="1:21">
      <c r="A66" s="105" t="s">
        <v>614</v>
      </c>
      <c r="B66" s="58"/>
      <c r="C66" s="58">
        <v>0</v>
      </c>
      <c r="D66" s="58">
        <v>510612.9</v>
      </c>
      <c r="E66" s="58">
        <v>532315.61</v>
      </c>
      <c r="F66" s="58"/>
      <c r="G66" s="58"/>
      <c r="H66" s="58"/>
      <c r="I66" s="58"/>
      <c r="J66" s="58"/>
      <c r="K66" s="58"/>
      <c r="L66" s="58"/>
      <c r="M66" s="58"/>
      <c r="N66" s="58"/>
      <c r="O66" s="58"/>
      <c r="P66" s="58"/>
      <c r="Q66" s="58"/>
      <c r="R66" s="58"/>
      <c r="S66" s="58"/>
      <c r="T66" s="58">
        <v>1042928.51</v>
      </c>
      <c r="U66"/>
    </row>
    <row r="67" spans="1:21">
      <c r="A67" s="105" t="s">
        <v>616</v>
      </c>
      <c r="B67" s="58"/>
      <c r="C67" s="58">
        <v>0</v>
      </c>
      <c r="D67" s="58">
        <v>246954.71</v>
      </c>
      <c r="E67" s="58">
        <v>378274.6</v>
      </c>
      <c r="F67" s="58"/>
      <c r="G67" s="58"/>
      <c r="H67" s="58"/>
      <c r="I67" s="58"/>
      <c r="J67" s="58"/>
      <c r="K67" s="58"/>
      <c r="L67" s="58"/>
      <c r="M67" s="58"/>
      <c r="N67" s="58"/>
      <c r="O67" s="58"/>
      <c r="P67" s="58"/>
      <c r="Q67" s="58"/>
      <c r="R67" s="58"/>
      <c r="S67" s="58"/>
      <c r="T67" s="58">
        <v>625229.30999999994</v>
      </c>
      <c r="U67"/>
    </row>
    <row r="68" spans="1:21">
      <c r="A68" s="105" t="s">
        <v>612</v>
      </c>
      <c r="B68" s="58"/>
      <c r="C68" s="58">
        <v>0</v>
      </c>
      <c r="D68" s="58">
        <v>0</v>
      </c>
      <c r="E68" s="58">
        <v>8696000</v>
      </c>
      <c r="F68" s="58"/>
      <c r="G68" s="58"/>
      <c r="H68" s="58"/>
      <c r="I68" s="58"/>
      <c r="J68" s="58"/>
      <c r="K68" s="58"/>
      <c r="L68" s="58"/>
      <c r="M68" s="58"/>
      <c r="N68" s="58"/>
      <c r="O68" s="58"/>
      <c r="P68" s="58"/>
      <c r="Q68" s="58"/>
      <c r="R68" s="58"/>
      <c r="S68" s="58"/>
      <c r="T68" s="58">
        <v>8696000</v>
      </c>
      <c r="U68"/>
    </row>
    <row r="69" spans="1:21">
      <c r="A69" s="104" t="s">
        <v>26</v>
      </c>
      <c r="B69" s="58"/>
      <c r="C69" s="58"/>
      <c r="D69" s="58"/>
      <c r="E69" s="58"/>
      <c r="F69" s="58"/>
      <c r="G69" s="58"/>
      <c r="H69" s="58"/>
      <c r="I69" s="58"/>
      <c r="J69" s="58"/>
      <c r="K69" s="58"/>
      <c r="L69" s="58"/>
      <c r="M69" s="58"/>
      <c r="N69" s="58"/>
      <c r="O69" s="58"/>
      <c r="P69" s="58"/>
      <c r="Q69" s="58"/>
      <c r="R69" s="58"/>
      <c r="S69" s="58"/>
      <c r="T69" s="58"/>
      <c r="U69"/>
    </row>
    <row r="70" spans="1:21">
      <c r="A70" s="105" t="s">
        <v>622</v>
      </c>
      <c r="B70" s="58"/>
      <c r="C70" s="58">
        <v>2448624.3199999998</v>
      </c>
      <c r="D70" s="58">
        <v>2148909.85</v>
      </c>
      <c r="E70" s="58">
        <v>1833777</v>
      </c>
      <c r="F70" s="58">
        <v>0</v>
      </c>
      <c r="G70" s="58"/>
      <c r="H70" s="58"/>
      <c r="I70" s="58"/>
      <c r="J70" s="58"/>
      <c r="K70" s="58"/>
      <c r="L70" s="58"/>
      <c r="M70" s="58"/>
      <c r="N70" s="58"/>
      <c r="O70" s="58"/>
      <c r="P70" s="58"/>
      <c r="Q70" s="58"/>
      <c r="R70" s="58"/>
      <c r="S70" s="58"/>
      <c r="T70" s="58">
        <v>2448624.3199999998</v>
      </c>
      <c r="U70"/>
    </row>
    <row r="71" spans="1:21">
      <c r="A71" s="105" t="s">
        <v>614</v>
      </c>
      <c r="B71" s="58"/>
      <c r="C71" s="58">
        <v>0</v>
      </c>
      <c r="D71" s="58">
        <v>133098.01</v>
      </c>
      <c r="E71" s="58">
        <v>109594.4</v>
      </c>
      <c r="F71" s="58">
        <v>93522.6</v>
      </c>
      <c r="G71" s="58"/>
      <c r="H71" s="58"/>
      <c r="I71" s="58"/>
      <c r="J71" s="58"/>
      <c r="K71" s="58"/>
      <c r="L71" s="58"/>
      <c r="M71" s="58"/>
      <c r="N71" s="58"/>
      <c r="O71" s="58"/>
      <c r="P71" s="58"/>
      <c r="Q71" s="58"/>
      <c r="R71" s="58"/>
      <c r="S71" s="58"/>
      <c r="T71" s="58">
        <v>336215.01</v>
      </c>
      <c r="U71"/>
    </row>
    <row r="72" spans="1:21">
      <c r="A72" s="105" t="s">
        <v>616</v>
      </c>
      <c r="B72" s="58"/>
      <c r="C72" s="58">
        <v>0</v>
      </c>
      <c r="D72" s="58">
        <v>299841.37</v>
      </c>
      <c r="E72" s="58">
        <v>315133.28999999998</v>
      </c>
      <c r="F72" s="58">
        <v>2341334.15</v>
      </c>
      <c r="G72" s="58"/>
      <c r="H72" s="58"/>
      <c r="I72" s="58"/>
      <c r="J72" s="58"/>
      <c r="K72" s="58"/>
      <c r="L72" s="58"/>
      <c r="M72" s="58"/>
      <c r="N72" s="58"/>
      <c r="O72" s="58"/>
      <c r="P72" s="58"/>
      <c r="Q72" s="58"/>
      <c r="R72" s="58"/>
      <c r="S72" s="58"/>
      <c r="T72" s="58">
        <v>2956308.8099999996</v>
      </c>
      <c r="U72"/>
    </row>
    <row r="73" spans="1:21">
      <c r="A73" s="105" t="s">
        <v>612</v>
      </c>
      <c r="B73" s="58"/>
      <c r="C73" s="58">
        <v>0</v>
      </c>
      <c r="D73" s="58">
        <v>0</v>
      </c>
      <c r="E73" s="58">
        <v>0</v>
      </c>
      <c r="F73" s="58">
        <v>0</v>
      </c>
      <c r="G73" s="58">
        <v>0</v>
      </c>
      <c r="H73" s="58">
        <v>0</v>
      </c>
      <c r="I73" s="58">
        <v>0</v>
      </c>
      <c r="J73" s="58">
        <v>0</v>
      </c>
      <c r="K73" s="58">
        <v>0</v>
      </c>
      <c r="L73" s="58"/>
      <c r="M73" s="58"/>
      <c r="N73" s="58">
        <v>0</v>
      </c>
      <c r="O73" s="58">
        <v>0</v>
      </c>
      <c r="P73" s="58">
        <v>0</v>
      </c>
      <c r="Q73" s="58">
        <v>0</v>
      </c>
      <c r="R73" s="58">
        <v>0</v>
      </c>
      <c r="S73" s="58">
        <v>0</v>
      </c>
      <c r="T73" s="58">
        <v>0</v>
      </c>
      <c r="U73"/>
    </row>
    <row r="74" spans="1:21">
      <c r="A74" s="104" t="s">
        <v>55</v>
      </c>
      <c r="B74" s="58"/>
      <c r="C74" s="58"/>
      <c r="D74" s="58"/>
      <c r="E74" s="58"/>
      <c r="F74" s="58"/>
      <c r="G74" s="58"/>
      <c r="H74" s="58"/>
      <c r="I74" s="58"/>
      <c r="J74" s="58"/>
      <c r="K74" s="58"/>
      <c r="L74" s="58"/>
      <c r="M74" s="58"/>
      <c r="N74" s="58"/>
      <c r="O74" s="58"/>
      <c r="P74" s="58"/>
      <c r="Q74" s="58"/>
      <c r="R74" s="58"/>
      <c r="S74" s="58"/>
      <c r="T74" s="58"/>
      <c r="U74"/>
    </row>
    <row r="75" spans="1:21">
      <c r="A75" s="105" t="s">
        <v>622</v>
      </c>
      <c r="B75" s="58"/>
      <c r="C75" s="58">
        <v>1593000</v>
      </c>
      <c r="D75" s="58">
        <v>1535207.74</v>
      </c>
      <c r="E75" s="58">
        <v>1471097</v>
      </c>
      <c r="F75" s="58">
        <v>0</v>
      </c>
      <c r="G75" s="58"/>
      <c r="H75" s="58"/>
      <c r="I75" s="58"/>
      <c r="J75" s="58"/>
      <c r="K75" s="58"/>
      <c r="L75" s="58"/>
      <c r="M75" s="58"/>
      <c r="N75" s="58"/>
      <c r="O75" s="58"/>
      <c r="P75" s="58"/>
      <c r="Q75" s="58"/>
      <c r="R75" s="58"/>
      <c r="S75" s="58"/>
      <c r="T75" s="58">
        <v>1593000</v>
      </c>
      <c r="U75"/>
    </row>
    <row r="76" spans="1:21">
      <c r="A76" s="105" t="s">
        <v>614</v>
      </c>
      <c r="B76" s="58"/>
      <c r="C76" s="58">
        <v>0</v>
      </c>
      <c r="D76" s="58">
        <v>52781.67</v>
      </c>
      <c r="E76" s="58">
        <v>38380.19</v>
      </c>
      <c r="F76" s="58">
        <v>36777.410000000003</v>
      </c>
      <c r="G76" s="58"/>
      <c r="H76" s="58"/>
      <c r="I76" s="58"/>
      <c r="J76" s="58"/>
      <c r="K76" s="58"/>
      <c r="L76" s="58"/>
      <c r="M76" s="58"/>
      <c r="N76" s="58"/>
      <c r="O76" s="58"/>
      <c r="P76" s="58"/>
      <c r="Q76" s="58"/>
      <c r="R76" s="58"/>
      <c r="S76" s="58"/>
      <c r="T76" s="58">
        <v>127939.27</v>
      </c>
      <c r="U76"/>
    </row>
    <row r="77" spans="1:21">
      <c r="A77" s="105" t="s">
        <v>616</v>
      </c>
      <c r="B77" s="58"/>
      <c r="C77" s="58">
        <v>0</v>
      </c>
      <c r="D77" s="58">
        <v>57792.26</v>
      </c>
      <c r="E77" s="58">
        <v>64111.22</v>
      </c>
      <c r="F77" s="58">
        <v>1471096.52</v>
      </c>
      <c r="G77" s="58"/>
      <c r="H77" s="58"/>
      <c r="I77" s="58"/>
      <c r="J77" s="58"/>
      <c r="K77" s="58"/>
      <c r="L77" s="58"/>
      <c r="M77" s="58"/>
      <c r="N77" s="58"/>
      <c r="O77" s="58"/>
      <c r="P77" s="58"/>
      <c r="Q77" s="58"/>
      <c r="R77" s="58"/>
      <c r="S77" s="58"/>
      <c r="T77" s="58">
        <v>1593000</v>
      </c>
      <c r="U77"/>
    </row>
    <row r="78" spans="1:21">
      <c r="A78" s="105" t="s">
        <v>612</v>
      </c>
      <c r="B78" s="58"/>
      <c r="C78" s="58">
        <v>0</v>
      </c>
      <c r="D78" s="58">
        <v>0</v>
      </c>
      <c r="E78" s="58">
        <v>0</v>
      </c>
      <c r="F78" s="58">
        <v>0</v>
      </c>
      <c r="G78" s="58"/>
      <c r="H78" s="58"/>
      <c r="I78" s="58">
        <v>0</v>
      </c>
      <c r="J78" s="58">
        <v>0</v>
      </c>
      <c r="K78" s="58"/>
      <c r="L78" s="58"/>
      <c r="M78" s="58"/>
      <c r="N78" s="58">
        <v>0</v>
      </c>
      <c r="O78" s="58">
        <v>0</v>
      </c>
      <c r="P78" s="58">
        <v>0</v>
      </c>
      <c r="Q78" s="58">
        <v>0</v>
      </c>
      <c r="R78" s="58">
        <v>0</v>
      </c>
      <c r="S78" s="58">
        <v>0</v>
      </c>
      <c r="T78" s="58">
        <v>0</v>
      </c>
      <c r="U78"/>
    </row>
    <row r="79" spans="1:21">
      <c r="A79" s="104" t="s">
        <v>59</v>
      </c>
      <c r="B79" s="58"/>
      <c r="C79" s="58"/>
      <c r="D79" s="58"/>
      <c r="E79" s="58"/>
      <c r="F79" s="58"/>
      <c r="G79" s="58"/>
      <c r="H79" s="58"/>
      <c r="I79" s="58"/>
      <c r="J79" s="58"/>
      <c r="K79" s="58"/>
      <c r="L79" s="58"/>
      <c r="M79" s="58"/>
      <c r="N79" s="58"/>
      <c r="O79" s="58"/>
      <c r="P79" s="58"/>
      <c r="Q79" s="58"/>
      <c r="R79" s="58"/>
      <c r="S79" s="58"/>
      <c r="T79" s="58"/>
      <c r="U79"/>
    </row>
    <row r="80" spans="1:21">
      <c r="A80" s="105" t="s">
        <v>622</v>
      </c>
      <c r="B80" s="58"/>
      <c r="C80" s="58">
        <v>4190000</v>
      </c>
      <c r="D80" s="58">
        <v>4190000</v>
      </c>
      <c r="E80" s="58">
        <v>4052188</v>
      </c>
      <c r="F80" s="58">
        <v>3880455</v>
      </c>
      <c r="G80" s="58">
        <v>3705039</v>
      </c>
      <c r="H80" s="58">
        <v>0</v>
      </c>
      <c r="I80" s="58"/>
      <c r="J80" s="58"/>
      <c r="K80" s="58"/>
      <c r="L80" s="58"/>
      <c r="M80" s="58"/>
      <c r="N80" s="58"/>
      <c r="O80" s="58"/>
      <c r="P80" s="58"/>
      <c r="Q80" s="58"/>
      <c r="R80" s="58"/>
      <c r="S80" s="58"/>
      <c r="T80" s="58">
        <v>4190000</v>
      </c>
      <c r="U80"/>
    </row>
    <row r="81" spans="1:21">
      <c r="A81" s="105" t="s">
        <v>614</v>
      </c>
      <c r="B81" s="58"/>
      <c r="C81" s="58">
        <v>0</v>
      </c>
      <c r="D81" s="58">
        <v>0</v>
      </c>
      <c r="E81" s="58">
        <v>164675.82999999999</v>
      </c>
      <c r="F81" s="58">
        <v>139800.48000000001</v>
      </c>
      <c r="G81" s="58">
        <v>133875.68</v>
      </c>
      <c r="H81" s="58">
        <v>119891.84</v>
      </c>
      <c r="I81" s="58"/>
      <c r="J81" s="58"/>
      <c r="K81" s="58"/>
      <c r="L81" s="58"/>
      <c r="M81" s="58"/>
      <c r="N81" s="58"/>
      <c r="O81" s="58"/>
      <c r="P81" s="58"/>
      <c r="Q81" s="58"/>
      <c r="R81" s="58"/>
      <c r="S81" s="58"/>
      <c r="T81" s="58">
        <v>558243.82999999996</v>
      </c>
      <c r="U81"/>
    </row>
    <row r="82" spans="1:21">
      <c r="A82" s="105" t="s">
        <v>616</v>
      </c>
      <c r="B82" s="58"/>
      <c r="C82" s="58">
        <v>0</v>
      </c>
      <c r="D82" s="58">
        <v>0</v>
      </c>
      <c r="E82" s="58">
        <v>137812.26</v>
      </c>
      <c r="F82" s="58">
        <v>171733.19</v>
      </c>
      <c r="G82" s="58">
        <v>175415.67</v>
      </c>
      <c r="H82" s="58">
        <v>3705038.86</v>
      </c>
      <c r="I82" s="58"/>
      <c r="J82" s="58"/>
      <c r="K82" s="58"/>
      <c r="L82" s="58"/>
      <c r="M82" s="58"/>
      <c r="N82" s="58"/>
      <c r="O82" s="58"/>
      <c r="P82" s="58"/>
      <c r="Q82" s="58"/>
      <c r="R82" s="58"/>
      <c r="S82" s="58"/>
      <c r="T82" s="58">
        <v>4189999.98</v>
      </c>
      <c r="U82"/>
    </row>
    <row r="83" spans="1:21">
      <c r="A83" s="105" t="s">
        <v>612</v>
      </c>
      <c r="B83" s="58"/>
      <c r="C83" s="58">
        <v>0</v>
      </c>
      <c r="D83" s="58">
        <v>0</v>
      </c>
      <c r="E83" s="58">
        <v>0</v>
      </c>
      <c r="F83" s="58">
        <v>0</v>
      </c>
      <c r="G83" s="58">
        <v>0</v>
      </c>
      <c r="H83" s="58">
        <v>0</v>
      </c>
      <c r="I83" s="58">
        <v>0</v>
      </c>
      <c r="J83" s="58">
        <v>0</v>
      </c>
      <c r="K83" s="58">
        <v>0</v>
      </c>
      <c r="L83" s="58">
        <v>0</v>
      </c>
      <c r="M83" s="58">
        <v>0</v>
      </c>
      <c r="N83" s="58">
        <v>0</v>
      </c>
      <c r="O83" s="58">
        <v>0</v>
      </c>
      <c r="P83" s="58">
        <v>0</v>
      </c>
      <c r="Q83" s="58">
        <v>0</v>
      </c>
      <c r="R83" s="58">
        <v>0</v>
      </c>
      <c r="S83" s="58">
        <v>0</v>
      </c>
      <c r="T83" s="58">
        <v>0</v>
      </c>
      <c r="U83"/>
    </row>
    <row r="84" spans="1:21">
      <c r="A84" s="104" t="s">
        <v>57</v>
      </c>
      <c r="B84" s="58"/>
      <c r="C84" s="58"/>
      <c r="D84" s="58"/>
      <c r="E84" s="58"/>
      <c r="F84" s="58"/>
      <c r="G84" s="58"/>
      <c r="H84" s="58"/>
      <c r="I84" s="58"/>
      <c r="J84" s="58"/>
      <c r="K84" s="58"/>
      <c r="L84" s="58"/>
      <c r="M84" s="58"/>
      <c r="N84" s="58"/>
      <c r="O84" s="58"/>
      <c r="P84" s="58"/>
      <c r="Q84" s="58"/>
      <c r="R84" s="58"/>
      <c r="S84" s="58"/>
      <c r="T84" s="58"/>
      <c r="U84"/>
    </row>
    <row r="85" spans="1:21">
      <c r="A85" s="105" t="s">
        <v>622</v>
      </c>
      <c r="B85" s="58"/>
      <c r="C85" s="58">
        <v>3000000</v>
      </c>
      <c r="D85" s="58">
        <v>2850000</v>
      </c>
      <c r="E85" s="58">
        <v>0</v>
      </c>
      <c r="F85" s="58"/>
      <c r="G85" s="58"/>
      <c r="H85" s="58"/>
      <c r="I85" s="58"/>
      <c r="J85" s="58"/>
      <c r="K85" s="58"/>
      <c r="L85" s="58"/>
      <c r="M85" s="58"/>
      <c r="N85" s="58"/>
      <c r="O85" s="58"/>
      <c r="P85" s="58"/>
      <c r="Q85" s="58"/>
      <c r="R85" s="58"/>
      <c r="S85" s="58"/>
      <c r="T85" s="58">
        <v>3000000</v>
      </c>
      <c r="U85"/>
    </row>
    <row r="86" spans="1:21">
      <c r="A86" s="105" t="s">
        <v>614</v>
      </c>
      <c r="B86" s="58"/>
      <c r="C86" s="58">
        <v>0</v>
      </c>
      <c r="D86" s="58">
        <v>153187.5</v>
      </c>
      <c r="E86" s="58">
        <v>99275</v>
      </c>
      <c r="F86" s="58"/>
      <c r="G86" s="58"/>
      <c r="H86" s="58"/>
      <c r="I86" s="58"/>
      <c r="J86" s="58"/>
      <c r="K86" s="58"/>
      <c r="L86" s="58"/>
      <c r="M86" s="58"/>
      <c r="N86" s="58"/>
      <c r="O86" s="58"/>
      <c r="P86" s="58"/>
      <c r="Q86" s="58"/>
      <c r="R86" s="58"/>
      <c r="S86" s="58"/>
      <c r="T86" s="58">
        <v>252462.5</v>
      </c>
      <c r="U86"/>
    </row>
    <row r="87" spans="1:21">
      <c r="A87" s="105" t="s">
        <v>616</v>
      </c>
      <c r="B87" s="58"/>
      <c r="C87" s="58">
        <v>0</v>
      </c>
      <c r="D87" s="58">
        <v>150000</v>
      </c>
      <c r="E87" s="58">
        <v>0</v>
      </c>
      <c r="F87" s="58"/>
      <c r="G87" s="58"/>
      <c r="H87" s="58"/>
      <c r="I87" s="58"/>
      <c r="J87" s="58"/>
      <c r="K87" s="58"/>
      <c r="L87" s="58"/>
      <c r="M87" s="58"/>
      <c r="N87" s="58"/>
      <c r="O87" s="58"/>
      <c r="P87" s="58"/>
      <c r="Q87" s="58"/>
      <c r="R87" s="58"/>
      <c r="S87" s="58"/>
      <c r="T87" s="58">
        <v>150000</v>
      </c>
      <c r="U87"/>
    </row>
    <row r="88" spans="1:21">
      <c r="A88" s="105" t="s">
        <v>612</v>
      </c>
      <c r="B88" s="58"/>
      <c r="C88" s="58">
        <v>0</v>
      </c>
      <c r="D88" s="58">
        <v>0</v>
      </c>
      <c r="E88" s="58">
        <v>2850000</v>
      </c>
      <c r="F88" s="58">
        <v>0</v>
      </c>
      <c r="G88" s="58"/>
      <c r="H88" s="58"/>
      <c r="I88" s="58">
        <v>0</v>
      </c>
      <c r="J88" s="58"/>
      <c r="K88" s="58"/>
      <c r="L88" s="58"/>
      <c r="M88" s="58"/>
      <c r="N88" s="58">
        <v>0</v>
      </c>
      <c r="O88" s="58">
        <v>0</v>
      </c>
      <c r="P88" s="58">
        <v>0</v>
      </c>
      <c r="Q88" s="58">
        <v>0</v>
      </c>
      <c r="R88" s="58">
        <v>0</v>
      </c>
      <c r="S88" s="58">
        <v>0</v>
      </c>
      <c r="T88" s="58">
        <v>2850000</v>
      </c>
      <c r="U88"/>
    </row>
    <row r="89" spans="1:21">
      <c r="A89" s="104" t="s">
        <v>78</v>
      </c>
      <c r="B89" s="58"/>
      <c r="C89" s="58"/>
      <c r="D89" s="58"/>
      <c r="E89" s="58"/>
      <c r="F89" s="58"/>
      <c r="G89" s="58"/>
      <c r="H89" s="58"/>
      <c r="I89" s="58"/>
      <c r="J89" s="58"/>
      <c r="K89" s="58"/>
      <c r="L89" s="58"/>
      <c r="M89" s="58"/>
      <c r="N89" s="58"/>
      <c r="O89" s="58"/>
      <c r="P89" s="58"/>
      <c r="Q89" s="58"/>
      <c r="R89" s="58"/>
      <c r="S89" s="58"/>
      <c r="T89" s="58"/>
      <c r="U89"/>
    </row>
    <row r="90" spans="1:21">
      <c r="A90" s="105" t="s">
        <v>622</v>
      </c>
      <c r="B90" s="58"/>
      <c r="C90" s="58"/>
      <c r="D90" s="58">
        <v>4700000</v>
      </c>
      <c r="E90" s="58">
        <v>4557860</v>
      </c>
      <c r="F90" s="58">
        <v>0</v>
      </c>
      <c r="G90" s="58"/>
      <c r="H90" s="58"/>
      <c r="I90" s="58"/>
      <c r="J90" s="58"/>
      <c r="K90" s="58"/>
      <c r="L90" s="58"/>
      <c r="M90" s="58"/>
      <c r="N90" s="58"/>
      <c r="O90" s="58"/>
      <c r="P90" s="58"/>
      <c r="Q90" s="58"/>
      <c r="R90" s="58"/>
      <c r="S90" s="58"/>
      <c r="T90" s="58">
        <v>4700000</v>
      </c>
      <c r="U90"/>
    </row>
    <row r="91" spans="1:21">
      <c r="A91" s="105" t="s">
        <v>614</v>
      </c>
      <c r="B91" s="58"/>
      <c r="C91" s="58"/>
      <c r="D91" s="58">
        <v>18683.79</v>
      </c>
      <c r="E91" s="58">
        <v>212158</v>
      </c>
      <c r="F91" s="58">
        <v>170889.36</v>
      </c>
      <c r="G91" s="58"/>
      <c r="H91" s="58"/>
      <c r="I91" s="58"/>
      <c r="J91" s="58"/>
      <c r="K91" s="58"/>
      <c r="L91" s="58"/>
      <c r="M91" s="58"/>
      <c r="N91" s="58"/>
      <c r="O91" s="58"/>
      <c r="P91" s="58"/>
      <c r="Q91" s="58"/>
      <c r="R91" s="58"/>
      <c r="S91" s="58"/>
      <c r="T91" s="58">
        <v>401731.15</v>
      </c>
      <c r="U91"/>
    </row>
    <row r="92" spans="1:21">
      <c r="A92" s="105" t="s">
        <v>616</v>
      </c>
      <c r="B92" s="58"/>
      <c r="C92" s="58"/>
      <c r="D92" s="58">
        <v>0</v>
      </c>
      <c r="E92" s="58">
        <v>142140</v>
      </c>
      <c r="F92" s="58">
        <v>0</v>
      </c>
      <c r="G92" s="58"/>
      <c r="H92" s="58"/>
      <c r="I92" s="58"/>
      <c r="J92" s="58"/>
      <c r="K92" s="58"/>
      <c r="L92" s="58"/>
      <c r="M92" s="58"/>
      <c r="N92" s="58"/>
      <c r="O92" s="58"/>
      <c r="P92" s="58"/>
      <c r="Q92" s="58"/>
      <c r="R92" s="58"/>
      <c r="S92" s="58"/>
      <c r="T92" s="58">
        <v>142140</v>
      </c>
      <c r="U92"/>
    </row>
    <row r="93" spans="1:21">
      <c r="A93" s="105" t="s">
        <v>612</v>
      </c>
      <c r="B93" s="58"/>
      <c r="C93" s="58"/>
      <c r="D93" s="58">
        <v>0</v>
      </c>
      <c r="E93" s="58">
        <v>0</v>
      </c>
      <c r="F93" s="58">
        <v>4558000</v>
      </c>
      <c r="G93" s="58">
        <v>0</v>
      </c>
      <c r="H93" s="58"/>
      <c r="I93" s="58">
        <v>0</v>
      </c>
      <c r="J93" s="58"/>
      <c r="K93" s="58"/>
      <c r="L93" s="58"/>
      <c r="M93" s="58">
        <v>0</v>
      </c>
      <c r="N93" s="58">
        <v>0</v>
      </c>
      <c r="O93" s="58">
        <v>0</v>
      </c>
      <c r="P93" s="58">
        <v>0</v>
      </c>
      <c r="Q93" s="58">
        <v>0</v>
      </c>
      <c r="R93" s="58">
        <v>0</v>
      </c>
      <c r="S93" s="58">
        <v>0</v>
      </c>
      <c r="T93" s="58">
        <v>4558000</v>
      </c>
      <c r="U93"/>
    </row>
    <row r="94" spans="1:21">
      <c r="A94" s="104" t="s">
        <v>60</v>
      </c>
      <c r="B94" s="58"/>
      <c r="C94" s="58"/>
      <c r="D94" s="58"/>
      <c r="E94" s="58"/>
      <c r="F94" s="58"/>
      <c r="G94" s="58"/>
      <c r="H94" s="58"/>
      <c r="I94" s="58"/>
      <c r="J94" s="58"/>
      <c r="K94" s="58"/>
      <c r="L94" s="58"/>
      <c r="M94" s="58"/>
      <c r="N94" s="58"/>
      <c r="O94" s="58"/>
      <c r="P94" s="58"/>
      <c r="Q94" s="58"/>
      <c r="R94" s="58"/>
      <c r="S94" s="58"/>
      <c r="T94" s="58"/>
      <c r="U94"/>
    </row>
    <row r="95" spans="1:21">
      <c r="A95" s="105" t="s">
        <v>622</v>
      </c>
      <c r="B95" s="58"/>
      <c r="C95" s="58"/>
      <c r="D95" s="58">
        <v>11919139.83</v>
      </c>
      <c r="E95" s="58">
        <v>11351969</v>
      </c>
      <c r="F95" s="58">
        <v>10750767</v>
      </c>
      <c r="G95" s="58">
        <v>10113494</v>
      </c>
      <c r="H95" s="58">
        <v>716041</v>
      </c>
      <c r="I95" s="58">
        <v>0</v>
      </c>
      <c r="J95" s="58"/>
      <c r="K95" s="58"/>
      <c r="L95" s="58"/>
      <c r="M95" s="58"/>
      <c r="N95" s="58"/>
      <c r="O95" s="58"/>
      <c r="P95" s="58"/>
      <c r="Q95" s="58"/>
      <c r="R95" s="58"/>
      <c r="S95" s="58"/>
      <c r="T95" s="58">
        <v>11919139.83</v>
      </c>
      <c r="U95"/>
    </row>
    <row r="96" spans="1:21">
      <c r="A96" s="105" t="s">
        <v>614</v>
      </c>
      <c r="B96" s="58"/>
      <c r="C96" s="58"/>
      <c r="D96" s="58">
        <v>0</v>
      </c>
      <c r="E96" s="58">
        <v>272147.07</v>
      </c>
      <c r="F96" s="58">
        <v>263600.28000000003</v>
      </c>
      <c r="G96" s="58">
        <v>300297.3</v>
      </c>
      <c r="H96" s="58">
        <v>398058.68</v>
      </c>
      <c r="I96" s="58">
        <v>456157.42</v>
      </c>
      <c r="J96" s="58"/>
      <c r="K96" s="58"/>
      <c r="L96" s="58"/>
      <c r="M96" s="58"/>
      <c r="N96" s="58"/>
      <c r="O96" s="58"/>
      <c r="P96" s="58"/>
      <c r="Q96" s="58"/>
      <c r="R96" s="58"/>
      <c r="S96" s="58"/>
      <c r="T96" s="58">
        <v>1690260.75</v>
      </c>
      <c r="U96"/>
    </row>
    <row r="97" spans="1:21">
      <c r="A97" s="105" t="s">
        <v>616</v>
      </c>
      <c r="B97" s="58"/>
      <c r="C97" s="58"/>
      <c r="D97" s="58">
        <v>0</v>
      </c>
      <c r="E97" s="58">
        <v>567171.18000000005</v>
      </c>
      <c r="F97" s="58">
        <v>601201.44999999995</v>
      </c>
      <c r="G97" s="58">
        <v>637273.54</v>
      </c>
      <c r="H97" s="58">
        <v>675509.95</v>
      </c>
      <c r="I97" s="58">
        <v>716040.55</v>
      </c>
      <c r="J97" s="58"/>
      <c r="K97" s="58"/>
      <c r="L97" s="58"/>
      <c r="M97" s="58"/>
      <c r="N97" s="58"/>
      <c r="O97" s="58"/>
      <c r="P97" s="58"/>
      <c r="Q97" s="58"/>
      <c r="R97" s="58"/>
      <c r="S97" s="58"/>
      <c r="T97" s="58">
        <v>3197196.67</v>
      </c>
      <c r="U97"/>
    </row>
    <row r="98" spans="1:21">
      <c r="A98" s="105" t="s">
        <v>612</v>
      </c>
      <c r="B98" s="58"/>
      <c r="C98" s="58"/>
      <c r="D98" s="58">
        <v>0</v>
      </c>
      <c r="E98" s="58">
        <v>0</v>
      </c>
      <c r="F98" s="58">
        <v>0</v>
      </c>
      <c r="G98" s="58">
        <v>0</v>
      </c>
      <c r="H98" s="58">
        <v>8722000</v>
      </c>
      <c r="I98" s="58">
        <v>0</v>
      </c>
      <c r="J98" s="58"/>
      <c r="K98" s="58"/>
      <c r="L98" s="58"/>
      <c r="M98" s="58"/>
      <c r="N98" s="58"/>
      <c r="O98" s="58"/>
      <c r="P98" s="58"/>
      <c r="Q98" s="58"/>
      <c r="R98" s="58"/>
      <c r="S98" s="58"/>
      <c r="T98" s="58">
        <v>8722000</v>
      </c>
      <c r="U98"/>
    </row>
    <row r="99" spans="1:21">
      <c r="A99" s="104" t="s">
        <v>64</v>
      </c>
      <c r="B99" s="58"/>
      <c r="C99" s="58"/>
      <c r="D99" s="58"/>
      <c r="E99" s="58"/>
      <c r="F99" s="58"/>
      <c r="G99" s="58"/>
      <c r="H99" s="58"/>
      <c r="I99" s="58"/>
      <c r="J99" s="58"/>
      <c r="K99" s="58"/>
      <c r="L99" s="58"/>
      <c r="M99" s="58"/>
      <c r="N99" s="58"/>
      <c r="O99" s="58"/>
      <c r="P99" s="58"/>
      <c r="Q99" s="58"/>
      <c r="R99" s="58"/>
      <c r="S99" s="58"/>
      <c r="T99" s="58"/>
      <c r="U99"/>
    </row>
    <row r="100" spans="1:21">
      <c r="A100" s="105" t="s">
        <v>622</v>
      </c>
      <c r="B100" s="58"/>
      <c r="C100" s="58"/>
      <c r="D100" s="58">
        <v>8404911.75</v>
      </c>
      <c r="E100" s="58">
        <v>8043814</v>
      </c>
      <c r="F100" s="58">
        <v>0</v>
      </c>
      <c r="G100" s="58"/>
      <c r="H100" s="58"/>
      <c r="I100" s="58"/>
      <c r="J100" s="58"/>
      <c r="K100" s="58"/>
      <c r="L100" s="58"/>
      <c r="M100" s="58"/>
      <c r="N100" s="58"/>
      <c r="O100" s="58"/>
      <c r="P100" s="58"/>
      <c r="Q100" s="58"/>
      <c r="R100" s="58"/>
      <c r="S100" s="58"/>
      <c r="T100" s="58">
        <v>8404911.75</v>
      </c>
      <c r="U100"/>
    </row>
    <row r="101" spans="1:21">
      <c r="A101" s="105" t="s">
        <v>614</v>
      </c>
      <c r="B101" s="58"/>
      <c r="C101" s="58"/>
      <c r="D101" s="58">
        <v>0</v>
      </c>
      <c r="E101" s="58">
        <v>388797.21</v>
      </c>
      <c r="F101" s="58">
        <v>401093.18</v>
      </c>
      <c r="G101" s="58"/>
      <c r="H101" s="58"/>
      <c r="I101" s="58"/>
      <c r="J101" s="58"/>
      <c r="K101" s="58"/>
      <c r="L101" s="58"/>
      <c r="M101" s="58"/>
      <c r="N101" s="58"/>
      <c r="O101" s="58"/>
      <c r="P101" s="58"/>
      <c r="Q101" s="58"/>
      <c r="R101" s="58"/>
      <c r="S101" s="58"/>
      <c r="T101" s="58">
        <v>789890.39</v>
      </c>
      <c r="U101"/>
    </row>
    <row r="102" spans="1:21">
      <c r="A102" s="105" t="s">
        <v>616</v>
      </c>
      <c r="B102" s="58"/>
      <c r="C102" s="58"/>
      <c r="D102" s="58">
        <v>0</v>
      </c>
      <c r="E102" s="58">
        <v>361098.23999999999</v>
      </c>
      <c r="F102" s="58">
        <v>382764</v>
      </c>
      <c r="G102" s="58"/>
      <c r="H102" s="58"/>
      <c r="I102" s="58"/>
      <c r="J102" s="58"/>
      <c r="K102" s="58"/>
      <c r="L102" s="58"/>
      <c r="M102" s="58"/>
      <c r="N102" s="58"/>
      <c r="O102" s="58"/>
      <c r="P102" s="58"/>
      <c r="Q102" s="58"/>
      <c r="R102" s="58"/>
      <c r="S102" s="58"/>
      <c r="T102" s="58">
        <v>743862.24</v>
      </c>
      <c r="U102"/>
    </row>
    <row r="103" spans="1:21">
      <c r="A103" s="105" t="s">
        <v>612</v>
      </c>
      <c r="B103" s="58"/>
      <c r="C103" s="58"/>
      <c r="D103" s="58">
        <v>0</v>
      </c>
      <c r="E103" s="58">
        <v>0</v>
      </c>
      <c r="F103" s="58">
        <v>7661000</v>
      </c>
      <c r="G103" s="58">
        <v>0</v>
      </c>
      <c r="H103" s="58"/>
      <c r="I103" s="58">
        <v>0</v>
      </c>
      <c r="J103" s="58"/>
      <c r="K103" s="58"/>
      <c r="L103" s="58"/>
      <c r="M103" s="58"/>
      <c r="N103" s="58">
        <v>0</v>
      </c>
      <c r="O103" s="58">
        <v>0</v>
      </c>
      <c r="P103" s="58">
        <v>0</v>
      </c>
      <c r="Q103" s="58">
        <v>0</v>
      </c>
      <c r="R103" s="58">
        <v>0</v>
      </c>
      <c r="S103" s="58"/>
      <c r="T103" s="58">
        <v>7661000</v>
      </c>
      <c r="U103"/>
    </row>
    <row r="104" spans="1:21">
      <c r="A104" s="104" t="s">
        <v>71</v>
      </c>
      <c r="B104" s="58"/>
      <c r="C104" s="58"/>
      <c r="D104" s="58"/>
      <c r="E104" s="58"/>
      <c r="F104" s="58"/>
      <c r="G104" s="58"/>
      <c r="H104" s="58"/>
      <c r="I104" s="58"/>
      <c r="J104" s="58"/>
      <c r="K104" s="58"/>
      <c r="L104" s="58"/>
      <c r="M104" s="58"/>
      <c r="N104" s="58"/>
      <c r="O104" s="58"/>
      <c r="P104" s="58"/>
      <c r="Q104" s="58"/>
      <c r="R104" s="58"/>
      <c r="S104" s="58"/>
      <c r="T104" s="58"/>
      <c r="U104"/>
    </row>
    <row r="105" spans="1:21">
      <c r="A105" s="105" t="s">
        <v>622</v>
      </c>
      <c r="B105" s="58"/>
      <c r="C105" s="58"/>
      <c r="D105" s="58">
        <v>2506491.5</v>
      </c>
      <c r="E105" s="58">
        <v>2253246</v>
      </c>
      <c r="F105" s="58">
        <v>0</v>
      </c>
      <c r="G105" s="58"/>
      <c r="H105" s="58"/>
      <c r="I105" s="58"/>
      <c r="J105" s="58"/>
      <c r="K105" s="58"/>
      <c r="L105" s="58"/>
      <c r="M105" s="58"/>
      <c r="N105" s="58"/>
      <c r="O105" s="58"/>
      <c r="P105" s="58"/>
      <c r="Q105" s="58"/>
      <c r="R105" s="58"/>
      <c r="S105" s="58"/>
      <c r="T105" s="58">
        <v>2506491.5</v>
      </c>
      <c r="U105"/>
    </row>
    <row r="106" spans="1:21">
      <c r="A106" s="105" t="s">
        <v>614</v>
      </c>
      <c r="B106" s="58"/>
      <c r="C106" s="58"/>
      <c r="D106" s="58">
        <v>0</v>
      </c>
      <c r="E106" s="58">
        <v>115946.12</v>
      </c>
      <c r="F106" s="58">
        <v>95403.05</v>
      </c>
      <c r="G106" s="58"/>
      <c r="H106" s="58"/>
      <c r="I106" s="58"/>
      <c r="J106" s="58"/>
      <c r="K106" s="58"/>
      <c r="L106" s="58"/>
      <c r="M106" s="58"/>
      <c r="N106" s="58"/>
      <c r="O106" s="58"/>
      <c r="P106" s="58"/>
      <c r="Q106" s="58"/>
      <c r="R106" s="58"/>
      <c r="S106" s="58"/>
      <c r="T106" s="58">
        <v>211349.16999999998</v>
      </c>
      <c r="U106"/>
    </row>
    <row r="107" spans="1:21">
      <c r="A107" s="105" t="s">
        <v>616</v>
      </c>
      <c r="B107" s="58"/>
      <c r="C107" s="58"/>
      <c r="D107" s="58">
        <v>0</v>
      </c>
      <c r="E107" s="58">
        <v>253245.5</v>
      </c>
      <c r="F107" s="58">
        <v>0</v>
      </c>
      <c r="G107" s="58"/>
      <c r="H107" s="58"/>
      <c r="I107" s="58"/>
      <c r="J107" s="58"/>
      <c r="K107" s="58"/>
      <c r="L107" s="58"/>
      <c r="M107" s="58"/>
      <c r="N107" s="58"/>
      <c r="O107" s="58"/>
      <c r="P107" s="58"/>
      <c r="Q107" s="58"/>
      <c r="R107" s="58"/>
      <c r="S107" s="58"/>
      <c r="T107" s="58">
        <v>253245.5</v>
      </c>
      <c r="U107"/>
    </row>
    <row r="108" spans="1:21">
      <c r="A108" s="105" t="s">
        <v>612</v>
      </c>
      <c r="B108" s="58"/>
      <c r="C108" s="58"/>
      <c r="D108" s="58">
        <v>0</v>
      </c>
      <c r="E108" s="58">
        <v>0</v>
      </c>
      <c r="F108" s="58">
        <v>2253000</v>
      </c>
      <c r="G108" s="58">
        <v>0</v>
      </c>
      <c r="H108" s="58"/>
      <c r="I108" s="58">
        <v>0</v>
      </c>
      <c r="J108" s="58"/>
      <c r="K108" s="58"/>
      <c r="L108" s="58"/>
      <c r="M108" s="58"/>
      <c r="N108" s="58">
        <v>0</v>
      </c>
      <c r="O108" s="58">
        <v>0</v>
      </c>
      <c r="P108" s="58">
        <v>0</v>
      </c>
      <c r="Q108" s="58">
        <v>0</v>
      </c>
      <c r="R108" s="58">
        <v>0</v>
      </c>
      <c r="S108" s="58"/>
      <c r="T108" s="58">
        <v>2253000</v>
      </c>
      <c r="U108"/>
    </row>
    <row r="109" spans="1:21">
      <c r="A109" s="104" t="s">
        <v>72</v>
      </c>
      <c r="B109" s="58"/>
      <c r="C109" s="58"/>
      <c r="D109" s="58"/>
      <c r="E109" s="58"/>
      <c r="F109" s="58"/>
      <c r="G109" s="58"/>
      <c r="H109" s="58"/>
      <c r="I109" s="58"/>
      <c r="J109" s="58"/>
      <c r="K109" s="58"/>
      <c r="L109" s="58"/>
      <c r="M109" s="58"/>
      <c r="N109" s="58"/>
      <c r="O109" s="58"/>
      <c r="P109" s="58"/>
      <c r="Q109" s="58"/>
      <c r="R109" s="58"/>
      <c r="S109" s="58"/>
      <c r="T109" s="58"/>
      <c r="U109"/>
    </row>
    <row r="110" spans="1:21">
      <c r="A110" s="105" t="s">
        <v>622</v>
      </c>
      <c r="B110" s="58"/>
      <c r="C110" s="58"/>
      <c r="D110" s="58">
        <v>5898754.6299999999</v>
      </c>
      <c r="E110" s="58">
        <v>10998755</v>
      </c>
      <c r="F110" s="58">
        <v>10587848</v>
      </c>
      <c r="G110" s="58">
        <v>10343514</v>
      </c>
      <c r="H110" s="58">
        <v>10068594</v>
      </c>
      <c r="I110" s="58">
        <v>0</v>
      </c>
      <c r="J110" s="58"/>
      <c r="K110" s="58"/>
      <c r="L110" s="58"/>
      <c r="M110" s="58"/>
      <c r="N110" s="58"/>
      <c r="O110" s="58"/>
      <c r="P110" s="58"/>
      <c r="Q110" s="58"/>
      <c r="R110" s="58"/>
      <c r="S110" s="58"/>
      <c r="T110" s="58">
        <v>10998755</v>
      </c>
      <c r="U110"/>
    </row>
    <row r="111" spans="1:21">
      <c r="A111" s="105" t="s">
        <v>614</v>
      </c>
      <c r="B111" s="58"/>
      <c r="C111" s="58"/>
      <c r="D111" s="58">
        <v>19182.27</v>
      </c>
      <c r="E111" s="58">
        <v>8851.9599999999991</v>
      </c>
      <c r="F111" s="58">
        <v>441691.65</v>
      </c>
      <c r="G111" s="58">
        <v>424028.63</v>
      </c>
      <c r="H111" s="58">
        <v>414243.37</v>
      </c>
      <c r="I111" s="58">
        <v>403233.22</v>
      </c>
      <c r="J111" s="58"/>
      <c r="K111" s="58"/>
      <c r="L111" s="58"/>
      <c r="M111" s="58"/>
      <c r="N111" s="58"/>
      <c r="O111" s="58"/>
      <c r="P111" s="58"/>
      <c r="Q111" s="58"/>
      <c r="R111" s="58"/>
      <c r="S111" s="58"/>
      <c r="T111" s="58">
        <v>1711231.0999999999</v>
      </c>
      <c r="U111"/>
    </row>
    <row r="112" spans="1:21">
      <c r="A112" s="105" t="s">
        <v>616</v>
      </c>
      <c r="B112" s="58"/>
      <c r="C112" s="58"/>
      <c r="D112" s="58">
        <v>0</v>
      </c>
      <c r="E112" s="58">
        <v>0</v>
      </c>
      <c r="F112" s="58">
        <v>410906.16</v>
      </c>
      <c r="G112" s="58">
        <v>244334.4</v>
      </c>
      <c r="H112" s="58">
        <v>274919.76</v>
      </c>
      <c r="I112" s="58">
        <v>307801.33</v>
      </c>
      <c r="J112" s="58"/>
      <c r="K112" s="58"/>
      <c r="L112" s="58"/>
      <c r="M112" s="58"/>
      <c r="N112" s="58"/>
      <c r="O112" s="58"/>
      <c r="P112" s="58"/>
      <c r="Q112" s="58"/>
      <c r="R112" s="58"/>
      <c r="S112" s="58"/>
      <c r="T112" s="58">
        <v>1237961.6499999999</v>
      </c>
      <c r="U112"/>
    </row>
    <row r="113" spans="1:21">
      <c r="A113" s="105" t="s">
        <v>612</v>
      </c>
      <c r="B113" s="58"/>
      <c r="C113" s="58"/>
      <c r="D113" s="58">
        <v>0</v>
      </c>
      <c r="E113" s="58">
        <v>0</v>
      </c>
      <c r="F113" s="58">
        <v>0</v>
      </c>
      <c r="G113" s="58">
        <v>0</v>
      </c>
      <c r="H113" s="58">
        <v>0</v>
      </c>
      <c r="I113" s="58">
        <v>9761000</v>
      </c>
      <c r="J113" s="58">
        <v>0</v>
      </c>
      <c r="K113" s="58"/>
      <c r="L113" s="58"/>
      <c r="M113" s="58"/>
      <c r="N113" s="58"/>
      <c r="O113" s="58"/>
      <c r="P113" s="58"/>
      <c r="Q113" s="58"/>
      <c r="R113" s="58"/>
      <c r="S113" s="58"/>
      <c r="T113" s="58">
        <v>9761000</v>
      </c>
      <c r="U113"/>
    </row>
    <row r="114" spans="1:21">
      <c r="A114" s="104" t="s">
        <v>101</v>
      </c>
      <c r="B114" s="58"/>
      <c r="C114" s="58"/>
      <c r="D114" s="58"/>
      <c r="E114" s="58"/>
      <c r="F114" s="58"/>
      <c r="G114" s="58"/>
      <c r="H114" s="58"/>
      <c r="I114" s="58"/>
      <c r="J114" s="58"/>
      <c r="K114" s="58"/>
      <c r="L114" s="58"/>
      <c r="M114" s="58"/>
      <c r="N114" s="58"/>
      <c r="O114" s="58"/>
      <c r="P114" s="58"/>
      <c r="Q114" s="58"/>
      <c r="R114" s="58"/>
      <c r="S114" s="58"/>
      <c r="T114" s="58"/>
      <c r="U114"/>
    </row>
    <row r="115" spans="1:21">
      <c r="A115" s="105" t="s">
        <v>622</v>
      </c>
      <c r="B115" s="58"/>
      <c r="C115" s="58"/>
      <c r="D115" s="58"/>
      <c r="E115" s="58">
        <v>8000000</v>
      </c>
      <c r="F115" s="58">
        <v>7758059</v>
      </c>
      <c r="G115" s="58">
        <v>7504022</v>
      </c>
      <c r="H115" s="58">
        <v>0</v>
      </c>
      <c r="I115" s="58"/>
      <c r="J115" s="58"/>
      <c r="K115" s="58"/>
      <c r="L115" s="58"/>
      <c r="M115" s="58"/>
      <c r="N115" s="58"/>
      <c r="O115" s="58"/>
      <c r="P115" s="58"/>
      <c r="Q115" s="58"/>
      <c r="R115" s="58"/>
      <c r="S115" s="58"/>
      <c r="T115" s="58">
        <v>8000000</v>
      </c>
      <c r="U115"/>
    </row>
    <row r="116" spans="1:21">
      <c r="A116" s="105" t="s">
        <v>614</v>
      </c>
      <c r="B116" s="58"/>
      <c r="C116" s="58"/>
      <c r="D116" s="58"/>
      <c r="E116" s="58">
        <v>968.89</v>
      </c>
      <c r="F116" s="58">
        <v>327688.89</v>
      </c>
      <c r="G116" s="58">
        <v>317778.73</v>
      </c>
      <c r="H116" s="58">
        <v>307373.06</v>
      </c>
      <c r="I116" s="58"/>
      <c r="J116" s="58"/>
      <c r="K116" s="58"/>
      <c r="L116" s="58"/>
      <c r="M116" s="58"/>
      <c r="N116" s="58"/>
      <c r="O116" s="58"/>
      <c r="P116" s="58"/>
      <c r="Q116" s="58"/>
      <c r="R116" s="58"/>
      <c r="S116" s="58"/>
      <c r="T116" s="58">
        <v>953809.57000000007</v>
      </c>
      <c r="U116"/>
    </row>
    <row r="117" spans="1:21">
      <c r="A117" s="105" t="s">
        <v>616</v>
      </c>
      <c r="B117" s="58"/>
      <c r="C117" s="58"/>
      <c r="D117" s="58"/>
      <c r="E117" s="58">
        <v>0</v>
      </c>
      <c r="F117" s="58">
        <v>241940.7</v>
      </c>
      <c r="G117" s="58">
        <v>254037.74</v>
      </c>
      <c r="H117" s="58">
        <v>266739.63</v>
      </c>
      <c r="I117" s="58"/>
      <c r="J117" s="58"/>
      <c r="K117" s="58"/>
      <c r="L117" s="58"/>
      <c r="M117" s="58"/>
      <c r="N117" s="58"/>
      <c r="O117" s="58"/>
      <c r="P117" s="58"/>
      <c r="Q117" s="58"/>
      <c r="R117" s="58"/>
      <c r="S117" s="58"/>
      <c r="T117" s="58">
        <v>762718.07000000007</v>
      </c>
      <c r="U117"/>
    </row>
    <row r="118" spans="1:21">
      <c r="A118" s="105" t="s">
        <v>612</v>
      </c>
      <c r="B118" s="58"/>
      <c r="C118" s="58"/>
      <c r="D118" s="58"/>
      <c r="E118" s="58">
        <v>0</v>
      </c>
      <c r="F118" s="58">
        <v>0</v>
      </c>
      <c r="G118" s="58">
        <v>0</v>
      </c>
      <c r="H118" s="58">
        <v>7237000</v>
      </c>
      <c r="I118" s="58">
        <v>0</v>
      </c>
      <c r="J118" s="58"/>
      <c r="K118" s="58"/>
      <c r="L118" s="58"/>
      <c r="M118" s="58"/>
      <c r="N118" s="58">
        <v>0</v>
      </c>
      <c r="O118" s="58">
        <v>0</v>
      </c>
      <c r="P118" s="58">
        <v>0</v>
      </c>
      <c r="Q118" s="58">
        <v>0</v>
      </c>
      <c r="R118" s="58">
        <v>0</v>
      </c>
      <c r="S118" s="58"/>
      <c r="T118" s="58">
        <v>7237000</v>
      </c>
      <c r="U118"/>
    </row>
    <row r="119" spans="1:21">
      <c r="A119" s="104" t="s">
        <v>79</v>
      </c>
      <c r="B119" s="58"/>
      <c r="C119" s="58"/>
      <c r="D119" s="58"/>
      <c r="E119" s="58"/>
      <c r="F119" s="58"/>
      <c r="G119" s="58"/>
      <c r="H119" s="58"/>
      <c r="I119" s="58"/>
      <c r="J119" s="58"/>
      <c r="K119" s="58"/>
      <c r="L119" s="58"/>
      <c r="M119" s="58"/>
      <c r="N119" s="58"/>
      <c r="O119" s="58"/>
      <c r="P119" s="58"/>
      <c r="Q119" s="58"/>
      <c r="R119" s="58"/>
      <c r="S119" s="58"/>
      <c r="T119" s="58"/>
      <c r="U119"/>
    </row>
    <row r="120" spans="1:21">
      <c r="A120" s="105" t="s">
        <v>622</v>
      </c>
      <c r="B120" s="58"/>
      <c r="C120" s="58"/>
      <c r="D120" s="58">
        <v>842000</v>
      </c>
      <c r="E120" s="58">
        <v>811783</v>
      </c>
      <c r="F120" s="58">
        <v>780480</v>
      </c>
      <c r="G120" s="58">
        <v>0</v>
      </c>
      <c r="H120" s="58"/>
      <c r="I120" s="58"/>
      <c r="J120" s="58"/>
      <c r="K120" s="58"/>
      <c r="L120" s="58"/>
      <c r="M120" s="58"/>
      <c r="N120" s="58"/>
      <c r="O120" s="58"/>
      <c r="P120" s="58"/>
      <c r="Q120" s="58"/>
      <c r="R120" s="58"/>
      <c r="S120" s="58"/>
      <c r="T120" s="58">
        <v>842000</v>
      </c>
      <c r="U120"/>
    </row>
    <row r="121" spans="1:21">
      <c r="A121" s="105" t="s">
        <v>614</v>
      </c>
      <c r="B121" s="58"/>
      <c r="C121" s="58"/>
      <c r="D121" s="58">
        <v>0</v>
      </c>
      <c r="E121" s="58">
        <v>28163.5</v>
      </c>
      <c r="F121" s="58">
        <v>27078.59</v>
      </c>
      <c r="G121" s="58">
        <v>17047.21</v>
      </c>
      <c r="H121" s="58"/>
      <c r="I121" s="58"/>
      <c r="J121" s="58"/>
      <c r="K121" s="58"/>
      <c r="L121" s="58"/>
      <c r="M121" s="58"/>
      <c r="N121" s="58"/>
      <c r="O121" s="58"/>
      <c r="P121" s="58"/>
      <c r="Q121" s="58"/>
      <c r="R121" s="58"/>
      <c r="S121" s="58"/>
      <c r="T121" s="58">
        <v>72289.299999999988</v>
      </c>
      <c r="U121"/>
    </row>
    <row r="122" spans="1:21">
      <c r="A122" s="105" t="s">
        <v>616</v>
      </c>
      <c r="B122" s="58"/>
      <c r="C122" s="58"/>
      <c r="D122" s="58">
        <v>0</v>
      </c>
      <c r="E122" s="58">
        <v>30217.32</v>
      </c>
      <c r="F122" s="58">
        <v>31302.23</v>
      </c>
      <c r="G122" s="58">
        <v>0</v>
      </c>
      <c r="H122" s="58"/>
      <c r="I122" s="58"/>
      <c r="J122" s="58"/>
      <c r="K122" s="58"/>
      <c r="L122" s="58"/>
      <c r="M122" s="58"/>
      <c r="N122" s="58"/>
      <c r="O122" s="58"/>
      <c r="P122" s="58"/>
      <c r="Q122" s="58"/>
      <c r="R122" s="58"/>
      <c r="S122" s="58"/>
      <c r="T122" s="58">
        <v>61519.55</v>
      </c>
      <c r="U122"/>
    </row>
    <row r="123" spans="1:21">
      <c r="A123" s="105" t="s">
        <v>612</v>
      </c>
      <c r="B123" s="58"/>
      <c r="C123" s="58"/>
      <c r="D123" s="58">
        <v>0</v>
      </c>
      <c r="E123" s="58">
        <v>0</v>
      </c>
      <c r="F123" s="58">
        <v>0</v>
      </c>
      <c r="G123" s="58">
        <v>780000</v>
      </c>
      <c r="H123" s="58">
        <v>0</v>
      </c>
      <c r="I123" s="58">
        <v>0</v>
      </c>
      <c r="J123" s="58">
        <v>0</v>
      </c>
      <c r="K123" s="58">
        <v>0</v>
      </c>
      <c r="L123" s="58"/>
      <c r="M123" s="58"/>
      <c r="N123" s="58">
        <v>0</v>
      </c>
      <c r="O123" s="58">
        <v>0</v>
      </c>
      <c r="P123" s="58">
        <v>0</v>
      </c>
      <c r="Q123" s="58">
        <v>0</v>
      </c>
      <c r="R123" s="58">
        <v>0</v>
      </c>
      <c r="S123" s="58"/>
      <c r="T123" s="58">
        <v>780000</v>
      </c>
      <c r="U123"/>
    </row>
    <row r="124" spans="1:21">
      <c r="A124" s="104" t="s">
        <v>81</v>
      </c>
      <c r="B124" s="58"/>
      <c r="C124" s="58"/>
      <c r="D124" s="58"/>
      <c r="E124" s="58"/>
      <c r="F124" s="58"/>
      <c r="G124" s="58"/>
      <c r="H124" s="58"/>
      <c r="I124" s="58"/>
      <c r="J124" s="58"/>
      <c r="K124" s="58"/>
      <c r="L124" s="58"/>
      <c r="M124" s="58"/>
      <c r="N124" s="58"/>
      <c r="O124" s="58"/>
      <c r="P124" s="58"/>
      <c r="Q124" s="58"/>
      <c r="R124" s="58"/>
      <c r="S124" s="58"/>
      <c r="T124" s="58"/>
      <c r="U124"/>
    </row>
    <row r="125" spans="1:21">
      <c r="A125" s="105" t="s">
        <v>622</v>
      </c>
      <c r="B125" s="58"/>
      <c r="C125" s="58"/>
      <c r="D125" s="58">
        <v>0</v>
      </c>
      <c r="E125" s="58"/>
      <c r="F125" s="58"/>
      <c r="G125" s="58"/>
      <c r="H125" s="58"/>
      <c r="I125" s="58"/>
      <c r="J125" s="58"/>
      <c r="K125" s="58"/>
      <c r="L125" s="58"/>
      <c r="M125" s="58"/>
      <c r="N125" s="58"/>
      <c r="O125" s="58"/>
      <c r="P125" s="58"/>
      <c r="Q125" s="58"/>
      <c r="R125" s="58"/>
      <c r="S125" s="58"/>
      <c r="T125" s="58">
        <v>0</v>
      </c>
      <c r="U125"/>
    </row>
    <row r="126" spans="1:21">
      <c r="A126" s="105" t="s">
        <v>614</v>
      </c>
      <c r="B126" s="58"/>
      <c r="C126" s="58"/>
      <c r="D126" s="58">
        <v>47866.66</v>
      </c>
      <c r="E126" s="58"/>
      <c r="F126" s="58"/>
      <c r="G126" s="58"/>
      <c r="H126" s="58"/>
      <c r="I126" s="58"/>
      <c r="J126" s="58"/>
      <c r="K126" s="58"/>
      <c r="L126" s="58"/>
      <c r="M126" s="58"/>
      <c r="N126" s="58"/>
      <c r="O126" s="58"/>
      <c r="P126" s="58"/>
      <c r="Q126" s="58"/>
      <c r="R126" s="58"/>
      <c r="S126" s="58"/>
      <c r="T126" s="58">
        <v>47866.66</v>
      </c>
      <c r="U126"/>
    </row>
    <row r="127" spans="1:21">
      <c r="A127" s="105" t="s">
        <v>616</v>
      </c>
      <c r="B127" s="58"/>
      <c r="C127" s="58"/>
      <c r="D127" s="58">
        <v>5000000</v>
      </c>
      <c r="E127" s="58"/>
      <c r="F127" s="58"/>
      <c r="G127" s="58"/>
      <c r="H127" s="58"/>
      <c r="I127" s="58"/>
      <c r="J127" s="58"/>
      <c r="K127" s="58"/>
      <c r="L127" s="58"/>
      <c r="M127" s="58"/>
      <c r="N127" s="58"/>
      <c r="O127" s="58"/>
      <c r="P127" s="58"/>
      <c r="Q127" s="58"/>
      <c r="R127" s="58"/>
      <c r="S127" s="58"/>
      <c r="T127" s="58">
        <v>5000000</v>
      </c>
      <c r="U127"/>
    </row>
    <row r="128" spans="1:21">
      <c r="A128" s="105" t="s">
        <v>612</v>
      </c>
      <c r="B128" s="58"/>
      <c r="C128" s="58"/>
      <c r="D128" s="58">
        <v>0</v>
      </c>
      <c r="E128" s="58">
        <v>0</v>
      </c>
      <c r="F128" s="58"/>
      <c r="G128" s="58"/>
      <c r="H128" s="58"/>
      <c r="I128" s="58"/>
      <c r="J128" s="58"/>
      <c r="K128" s="58"/>
      <c r="L128" s="58"/>
      <c r="M128" s="58"/>
      <c r="N128" s="58"/>
      <c r="O128" s="58"/>
      <c r="P128" s="58"/>
      <c r="Q128" s="58"/>
      <c r="R128" s="58"/>
      <c r="S128" s="58"/>
      <c r="T128" s="58">
        <v>0</v>
      </c>
      <c r="U128"/>
    </row>
    <row r="129" spans="1:21">
      <c r="A129" s="104" t="s">
        <v>84</v>
      </c>
      <c r="B129" s="58"/>
      <c r="C129" s="58"/>
      <c r="D129" s="58"/>
      <c r="E129" s="58"/>
      <c r="F129" s="58"/>
      <c r="G129" s="58"/>
      <c r="H129" s="58"/>
      <c r="I129" s="58"/>
      <c r="J129" s="58"/>
      <c r="K129" s="58"/>
      <c r="L129" s="58"/>
      <c r="M129" s="58"/>
      <c r="N129" s="58"/>
      <c r="O129" s="58"/>
      <c r="P129" s="58"/>
      <c r="Q129" s="58"/>
      <c r="R129" s="58"/>
      <c r="S129" s="58"/>
      <c r="T129" s="58"/>
      <c r="U129"/>
    </row>
    <row r="130" spans="1:21">
      <c r="A130" s="105" t="s">
        <v>622</v>
      </c>
      <c r="B130" s="58"/>
      <c r="C130" s="58"/>
      <c r="D130" s="58">
        <v>882238.31</v>
      </c>
      <c r="E130" s="58">
        <v>569553</v>
      </c>
      <c r="F130" s="58">
        <v>247645</v>
      </c>
      <c r="G130" s="58">
        <v>0</v>
      </c>
      <c r="H130" s="58"/>
      <c r="I130" s="58"/>
      <c r="J130" s="58"/>
      <c r="K130" s="58"/>
      <c r="L130" s="58"/>
      <c r="M130" s="58"/>
      <c r="N130" s="58"/>
      <c r="O130" s="58"/>
      <c r="P130" s="58"/>
      <c r="Q130" s="58"/>
      <c r="R130" s="58"/>
      <c r="S130" s="58"/>
      <c r="T130" s="58">
        <v>882238.31</v>
      </c>
      <c r="U130"/>
    </row>
    <row r="131" spans="1:21">
      <c r="A131" s="105" t="s">
        <v>614</v>
      </c>
      <c r="B131" s="58"/>
      <c r="C131" s="58"/>
      <c r="D131" s="58">
        <v>6637.98</v>
      </c>
      <c r="E131" s="58">
        <v>21524.58</v>
      </c>
      <c r="F131" s="58">
        <v>12303.06</v>
      </c>
      <c r="G131" s="58">
        <v>3012.43</v>
      </c>
      <c r="H131" s="58"/>
      <c r="I131" s="58"/>
      <c r="J131" s="58"/>
      <c r="K131" s="58"/>
      <c r="L131" s="58"/>
      <c r="M131" s="58"/>
      <c r="N131" s="58"/>
      <c r="O131" s="58"/>
      <c r="P131" s="58"/>
      <c r="Q131" s="58"/>
      <c r="R131" s="58"/>
      <c r="S131" s="58"/>
      <c r="T131" s="58">
        <v>43478.05</v>
      </c>
      <c r="U131"/>
    </row>
    <row r="132" spans="1:21">
      <c r="A132" s="105" t="s">
        <v>616</v>
      </c>
      <c r="B132" s="58"/>
      <c r="C132" s="58"/>
      <c r="D132" s="58">
        <v>76761.69</v>
      </c>
      <c r="E132" s="58">
        <v>312685.31</v>
      </c>
      <c r="F132" s="58">
        <v>321907.26</v>
      </c>
      <c r="G132" s="58">
        <v>247645.31</v>
      </c>
      <c r="H132" s="58"/>
      <c r="I132" s="58"/>
      <c r="J132" s="58"/>
      <c r="K132" s="58"/>
      <c r="L132" s="58"/>
      <c r="M132" s="58"/>
      <c r="N132" s="58"/>
      <c r="O132" s="58"/>
      <c r="P132" s="58"/>
      <c r="Q132" s="58"/>
      <c r="R132" s="58"/>
      <c r="S132" s="58"/>
      <c r="T132" s="58">
        <v>958999.57000000007</v>
      </c>
      <c r="U132"/>
    </row>
    <row r="133" spans="1:21">
      <c r="A133" s="105" t="s">
        <v>612</v>
      </c>
      <c r="B133" s="58"/>
      <c r="C133" s="58"/>
      <c r="D133" s="58">
        <v>0</v>
      </c>
      <c r="E133" s="58">
        <v>0</v>
      </c>
      <c r="F133" s="58">
        <v>0</v>
      </c>
      <c r="G133" s="58">
        <v>0</v>
      </c>
      <c r="H133" s="58">
        <v>0</v>
      </c>
      <c r="I133" s="58">
        <v>0</v>
      </c>
      <c r="J133" s="58">
        <v>0</v>
      </c>
      <c r="K133" s="58">
        <v>0</v>
      </c>
      <c r="L133" s="58"/>
      <c r="M133" s="58"/>
      <c r="N133" s="58">
        <v>0</v>
      </c>
      <c r="O133" s="58">
        <v>0</v>
      </c>
      <c r="P133" s="58">
        <v>0</v>
      </c>
      <c r="Q133" s="58">
        <v>0</v>
      </c>
      <c r="R133" s="58">
        <v>0</v>
      </c>
      <c r="S133" s="58"/>
      <c r="T133" s="58">
        <v>0</v>
      </c>
      <c r="U133"/>
    </row>
    <row r="134" spans="1:21">
      <c r="A134" s="104" t="s">
        <v>61</v>
      </c>
      <c r="B134" s="58"/>
      <c r="C134" s="58"/>
      <c r="D134" s="58"/>
      <c r="E134" s="58"/>
      <c r="F134" s="58"/>
      <c r="G134" s="58"/>
      <c r="H134" s="58"/>
      <c r="I134" s="58"/>
      <c r="J134" s="58"/>
      <c r="K134" s="58"/>
      <c r="L134" s="58"/>
      <c r="M134" s="58"/>
      <c r="N134" s="58"/>
      <c r="O134" s="58"/>
      <c r="P134" s="58"/>
      <c r="Q134" s="58"/>
      <c r="R134" s="58"/>
      <c r="S134" s="58"/>
      <c r="T134" s="58"/>
      <c r="U134"/>
    </row>
    <row r="135" spans="1:21">
      <c r="A135" s="105" t="s">
        <v>622</v>
      </c>
      <c r="B135" s="58"/>
      <c r="C135" s="58"/>
      <c r="D135" s="58">
        <v>0</v>
      </c>
      <c r="E135" s="58"/>
      <c r="F135" s="58"/>
      <c r="G135" s="58"/>
      <c r="H135" s="58"/>
      <c r="I135" s="58"/>
      <c r="J135" s="58"/>
      <c r="K135" s="58"/>
      <c r="L135" s="58"/>
      <c r="M135" s="58"/>
      <c r="N135" s="58"/>
      <c r="O135" s="58"/>
      <c r="P135" s="58"/>
      <c r="Q135" s="58"/>
      <c r="R135" s="58"/>
      <c r="S135" s="58"/>
      <c r="T135" s="58">
        <v>0</v>
      </c>
      <c r="U135"/>
    </row>
    <row r="136" spans="1:21">
      <c r="A136" s="105" t="s">
        <v>614</v>
      </c>
      <c r="B136" s="58"/>
      <c r="C136" s="58"/>
      <c r="D136" s="58">
        <v>4602.6499999999996</v>
      </c>
      <c r="E136" s="58"/>
      <c r="F136" s="58"/>
      <c r="G136" s="58"/>
      <c r="H136" s="58"/>
      <c r="I136" s="58"/>
      <c r="J136" s="58"/>
      <c r="K136" s="58"/>
      <c r="L136" s="58"/>
      <c r="M136" s="58"/>
      <c r="N136" s="58"/>
      <c r="O136" s="58"/>
      <c r="P136" s="58"/>
      <c r="Q136" s="58"/>
      <c r="R136" s="58"/>
      <c r="S136" s="58"/>
      <c r="T136" s="58">
        <v>4602.6499999999996</v>
      </c>
      <c r="U136"/>
    </row>
    <row r="137" spans="1:21">
      <c r="A137" s="105" t="s">
        <v>616</v>
      </c>
      <c r="B137" s="58"/>
      <c r="C137" s="58"/>
      <c r="D137" s="58">
        <v>838469.6</v>
      </c>
      <c r="E137" s="58"/>
      <c r="F137" s="58"/>
      <c r="G137" s="58"/>
      <c r="H137" s="58"/>
      <c r="I137" s="58"/>
      <c r="J137" s="58"/>
      <c r="K137" s="58"/>
      <c r="L137" s="58"/>
      <c r="M137" s="58"/>
      <c r="N137" s="58"/>
      <c r="O137" s="58"/>
      <c r="P137" s="58"/>
      <c r="Q137" s="58"/>
      <c r="R137" s="58"/>
      <c r="S137" s="58"/>
      <c r="T137" s="58">
        <v>838469.6</v>
      </c>
      <c r="U137"/>
    </row>
    <row r="138" spans="1:21">
      <c r="A138" s="105" t="s">
        <v>612</v>
      </c>
      <c r="B138" s="58"/>
      <c r="C138" s="58"/>
      <c r="D138" s="58">
        <v>0</v>
      </c>
      <c r="E138" s="58">
        <v>0</v>
      </c>
      <c r="F138" s="58"/>
      <c r="G138" s="58"/>
      <c r="H138" s="58"/>
      <c r="I138" s="58"/>
      <c r="J138" s="58"/>
      <c r="K138" s="58"/>
      <c r="L138" s="58"/>
      <c r="M138" s="58"/>
      <c r="N138" s="58"/>
      <c r="O138" s="58"/>
      <c r="P138" s="58"/>
      <c r="Q138" s="58"/>
      <c r="R138" s="58"/>
      <c r="S138" s="58"/>
      <c r="T138" s="58">
        <v>0</v>
      </c>
      <c r="U138"/>
    </row>
    <row r="139" spans="1:21">
      <c r="A139" s="104" t="s">
        <v>14</v>
      </c>
      <c r="B139" s="58"/>
      <c r="C139" s="58"/>
      <c r="D139" s="58"/>
      <c r="E139" s="58"/>
      <c r="F139" s="58"/>
      <c r="G139" s="58"/>
      <c r="H139" s="58"/>
      <c r="I139" s="58"/>
      <c r="J139" s="58"/>
      <c r="K139" s="58"/>
      <c r="L139" s="58"/>
      <c r="M139" s="58"/>
      <c r="N139" s="58"/>
      <c r="O139" s="58"/>
      <c r="P139" s="58"/>
      <c r="Q139" s="58"/>
      <c r="R139" s="58"/>
      <c r="S139" s="58"/>
      <c r="T139" s="58"/>
      <c r="U139"/>
    </row>
    <row r="140" spans="1:21">
      <c r="A140" s="105" t="s">
        <v>622</v>
      </c>
      <c r="B140" s="58"/>
      <c r="C140" s="58">
        <v>945184</v>
      </c>
      <c r="D140" s="58">
        <v>487836.86</v>
      </c>
      <c r="E140" s="58">
        <v>0</v>
      </c>
      <c r="F140" s="58"/>
      <c r="G140" s="58"/>
      <c r="H140" s="58"/>
      <c r="I140" s="58"/>
      <c r="J140" s="58"/>
      <c r="K140" s="58"/>
      <c r="L140" s="58"/>
      <c r="M140" s="58"/>
      <c r="N140" s="58"/>
      <c r="O140" s="58"/>
      <c r="P140" s="58"/>
      <c r="Q140" s="58"/>
      <c r="R140" s="58"/>
      <c r="S140" s="58"/>
      <c r="T140" s="58">
        <v>945184</v>
      </c>
      <c r="U140"/>
    </row>
    <row r="141" spans="1:21">
      <c r="A141" s="105" t="s">
        <v>614</v>
      </c>
      <c r="B141" s="58"/>
      <c r="C141" s="58"/>
      <c r="D141" s="58">
        <v>44329.63</v>
      </c>
      <c r="E141" s="58">
        <v>17113.580000000002</v>
      </c>
      <c r="F141" s="58"/>
      <c r="G141" s="58"/>
      <c r="H141" s="58"/>
      <c r="I141" s="58"/>
      <c r="J141" s="58"/>
      <c r="K141" s="58"/>
      <c r="L141" s="58"/>
      <c r="M141" s="58"/>
      <c r="N141" s="58"/>
      <c r="O141" s="58"/>
      <c r="P141" s="58"/>
      <c r="Q141" s="58"/>
      <c r="R141" s="58"/>
      <c r="S141" s="58"/>
      <c r="T141" s="58">
        <v>61443.21</v>
      </c>
      <c r="U141"/>
    </row>
    <row r="142" spans="1:21">
      <c r="A142" s="105" t="s">
        <v>616</v>
      </c>
      <c r="B142" s="58"/>
      <c r="C142" s="58"/>
      <c r="D142" s="58">
        <v>457347.05</v>
      </c>
      <c r="E142" s="58">
        <v>487836.86</v>
      </c>
      <c r="F142" s="58"/>
      <c r="G142" s="58"/>
      <c r="H142" s="58"/>
      <c r="I142" s="58"/>
      <c r="J142" s="58"/>
      <c r="K142" s="58"/>
      <c r="L142" s="58"/>
      <c r="M142" s="58"/>
      <c r="N142" s="58"/>
      <c r="O142" s="58"/>
      <c r="P142" s="58"/>
      <c r="Q142" s="58"/>
      <c r="R142" s="58"/>
      <c r="S142" s="58"/>
      <c r="T142" s="58">
        <v>945183.90999999992</v>
      </c>
      <c r="U142"/>
    </row>
    <row r="143" spans="1:21">
      <c r="A143" s="105" t="s">
        <v>612</v>
      </c>
      <c r="B143" s="58">
        <v>0</v>
      </c>
      <c r="C143" s="58">
        <v>0</v>
      </c>
      <c r="D143" s="58">
        <v>0</v>
      </c>
      <c r="E143" s="58">
        <v>0</v>
      </c>
      <c r="F143" s="58">
        <v>0</v>
      </c>
      <c r="G143" s="58"/>
      <c r="H143" s="58"/>
      <c r="I143" s="58">
        <v>0</v>
      </c>
      <c r="J143" s="58">
        <v>0</v>
      </c>
      <c r="K143" s="58">
        <v>0</v>
      </c>
      <c r="L143" s="58"/>
      <c r="M143" s="58"/>
      <c r="N143" s="58">
        <v>0</v>
      </c>
      <c r="O143" s="58">
        <v>0</v>
      </c>
      <c r="P143" s="58">
        <v>0</v>
      </c>
      <c r="Q143" s="58">
        <v>0</v>
      </c>
      <c r="R143" s="58">
        <v>0</v>
      </c>
      <c r="S143" s="58"/>
      <c r="T143" s="58">
        <v>0</v>
      </c>
      <c r="U143"/>
    </row>
    <row r="144" spans="1:21">
      <c r="A144" s="104" t="s">
        <v>86</v>
      </c>
      <c r="B144" s="58"/>
      <c r="C144" s="58"/>
      <c r="D144" s="58"/>
      <c r="E144" s="58"/>
      <c r="F144" s="58"/>
      <c r="G144" s="58"/>
      <c r="H144" s="58"/>
      <c r="I144" s="58"/>
      <c r="J144" s="58"/>
      <c r="K144" s="58"/>
      <c r="L144" s="58"/>
      <c r="M144" s="58"/>
      <c r="N144" s="58"/>
      <c r="O144" s="58"/>
      <c r="P144" s="58"/>
      <c r="Q144" s="58"/>
      <c r="R144" s="58"/>
      <c r="S144" s="58"/>
      <c r="T144" s="58"/>
      <c r="U144"/>
    </row>
    <row r="145" spans="1:21">
      <c r="A145" s="105" t="s">
        <v>622</v>
      </c>
      <c r="B145" s="58"/>
      <c r="C145" s="58"/>
      <c r="D145" s="58"/>
      <c r="E145" s="58">
        <v>3763305</v>
      </c>
      <c r="F145" s="58">
        <v>3283934</v>
      </c>
      <c r="G145" s="58">
        <v>2786347</v>
      </c>
      <c r="H145" s="58">
        <v>2269851</v>
      </c>
      <c r="I145" s="58">
        <v>1733729</v>
      </c>
      <c r="J145" s="58">
        <v>1177234</v>
      </c>
      <c r="K145" s="58">
        <v>599592</v>
      </c>
      <c r="L145" s="58"/>
      <c r="M145" s="58"/>
      <c r="N145" s="58"/>
      <c r="O145" s="58"/>
      <c r="P145" s="58"/>
      <c r="Q145" s="58"/>
      <c r="R145" s="58"/>
      <c r="S145" s="58"/>
      <c r="T145" s="58">
        <v>3763305</v>
      </c>
      <c r="U145"/>
    </row>
    <row r="146" spans="1:21">
      <c r="A146" s="105" t="s">
        <v>614</v>
      </c>
      <c r="B146" s="58"/>
      <c r="C146" s="58"/>
      <c r="D146" s="58"/>
      <c r="E146" s="58">
        <v>61617.91</v>
      </c>
      <c r="F146" s="58">
        <v>143005.6</v>
      </c>
      <c r="G146" s="58">
        <v>124789.49</v>
      </c>
      <c r="H146" s="58">
        <v>105881.18</v>
      </c>
      <c r="I146" s="58">
        <v>86254.35</v>
      </c>
      <c r="J146" s="58">
        <v>65881.7</v>
      </c>
      <c r="K146" s="58">
        <v>44734.89</v>
      </c>
      <c r="L146" s="58"/>
      <c r="M146" s="58"/>
      <c r="N146" s="58"/>
      <c r="O146" s="58"/>
      <c r="P146" s="58"/>
      <c r="Q146" s="58"/>
      <c r="R146" s="58"/>
      <c r="S146" s="58"/>
      <c r="T146" s="58">
        <v>632165.12</v>
      </c>
      <c r="U146"/>
    </row>
    <row r="147" spans="1:21">
      <c r="A147" s="105" t="s">
        <v>616</v>
      </c>
      <c r="B147" s="58"/>
      <c r="C147" s="58"/>
      <c r="D147" s="58"/>
      <c r="E147" s="58">
        <v>560758.78</v>
      </c>
      <c r="F147" s="58">
        <v>479371.09</v>
      </c>
      <c r="G147" s="58">
        <v>497587.20000000001</v>
      </c>
      <c r="H147" s="58">
        <v>516495.51</v>
      </c>
      <c r="I147" s="58">
        <v>536122.34</v>
      </c>
      <c r="J147" s="58">
        <v>556494.99</v>
      </c>
      <c r="K147" s="58">
        <v>577641.80000000005</v>
      </c>
      <c r="L147" s="58"/>
      <c r="M147" s="58"/>
      <c r="N147" s="58"/>
      <c r="O147" s="58"/>
      <c r="P147" s="58"/>
      <c r="Q147" s="58"/>
      <c r="R147" s="58"/>
      <c r="S147" s="58"/>
      <c r="T147" s="58">
        <v>3724471.71</v>
      </c>
      <c r="U147"/>
    </row>
    <row r="148" spans="1:21">
      <c r="A148" s="105" t="s">
        <v>612</v>
      </c>
      <c r="B148" s="58"/>
      <c r="C148" s="58"/>
      <c r="D148" s="58"/>
      <c r="E148" s="58">
        <v>0</v>
      </c>
      <c r="F148" s="58">
        <v>0</v>
      </c>
      <c r="G148" s="58">
        <v>0</v>
      </c>
      <c r="H148" s="58">
        <v>0</v>
      </c>
      <c r="I148" s="58">
        <v>0</v>
      </c>
      <c r="J148" s="58">
        <v>0</v>
      </c>
      <c r="K148" s="58">
        <v>0</v>
      </c>
      <c r="L148" s="58">
        <v>0</v>
      </c>
      <c r="M148" s="58">
        <v>0</v>
      </c>
      <c r="N148" s="58">
        <v>0</v>
      </c>
      <c r="O148" s="58">
        <v>0</v>
      </c>
      <c r="P148" s="58">
        <v>0</v>
      </c>
      <c r="Q148" s="58">
        <v>0</v>
      </c>
      <c r="R148" s="58">
        <v>0</v>
      </c>
      <c r="S148" s="58"/>
      <c r="T148" s="58">
        <v>0</v>
      </c>
      <c r="U148"/>
    </row>
    <row r="149" spans="1:21">
      <c r="A149" s="104" t="s">
        <v>90</v>
      </c>
      <c r="B149" s="58"/>
      <c r="C149" s="58"/>
      <c r="D149" s="58"/>
      <c r="E149" s="58"/>
      <c r="F149" s="58"/>
      <c r="G149" s="58"/>
      <c r="H149" s="58"/>
      <c r="I149" s="58"/>
      <c r="J149" s="58"/>
      <c r="K149" s="58"/>
      <c r="L149" s="58"/>
      <c r="M149" s="58"/>
      <c r="N149" s="58"/>
      <c r="O149" s="58"/>
      <c r="P149" s="58"/>
      <c r="Q149" s="58"/>
      <c r="R149" s="58"/>
      <c r="S149" s="58"/>
      <c r="T149" s="58"/>
      <c r="U149"/>
    </row>
    <row r="150" spans="1:21">
      <c r="A150" s="105" t="s">
        <v>622</v>
      </c>
      <c r="B150" s="58"/>
      <c r="C150" s="58"/>
      <c r="D150" s="58"/>
      <c r="E150" s="58">
        <v>13211467</v>
      </c>
      <c r="F150" s="58">
        <v>0</v>
      </c>
      <c r="G150" s="58"/>
      <c r="H150" s="58"/>
      <c r="I150" s="58"/>
      <c r="J150" s="58"/>
      <c r="K150" s="58"/>
      <c r="L150" s="58"/>
      <c r="M150" s="58"/>
      <c r="N150" s="58"/>
      <c r="O150" s="58"/>
      <c r="P150" s="58"/>
      <c r="Q150" s="58"/>
      <c r="R150" s="58"/>
      <c r="S150" s="58"/>
      <c r="T150" s="58">
        <v>13211467</v>
      </c>
      <c r="U150"/>
    </row>
    <row r="151" spans="1:21">
      <c r="A151" s="105" t="s">
        <v>614</v>
      </c>
      <c r="B151" s="58"/>
      <c r="C151" s="58"/>
      <c r="D151" s="58"/>
      <c r="E151" s="58">
        <v>377344.07</v>
      </c>
      <c r="F151" s="58">
        <v>567946.29</v>
      </c>
      <c r="G151" s="58"/>
      <c r="H151" s="58"/>
      <c r="I151" s="58"/>
      <c r="J151" s="58"/>
      <c r="K151" s="58"/>
      <c r="L151" s="58"/>
      <c r="M151" s="58"/>
      <c r="N151" s="58"/>
      <c r="O151" s="58"/>
      <c r="P151" s="58"/>
      <c r="Q151" s="58"/>
      <c r="R151" s="58"/>
      <c r="S151" s="58"/>
      <c r="T151" s="58">
        <v>945290.3600000001</v>
      </c>
      <c r="U151"/>
    </row>
    <row r="152" spans="1:21">
      <c r="A152" s="105" t="s">
        <v>616</v>
      </c>
      <c r="B152" s="58"/>
      <c r="C152" s="58"/>
      <c r="D152" s="58"/>
      <c r="E152" s="58">
        <v>422000</v>
      </c>
      <c r="F152" s="58">
        <v>341425</v>
      </c>
      <c r="G152" s="58"/>
      <c r="H152" s="58"/>
      <c r="I152" s="58"/>
      <c r="J152" s="58"/>
      <c r="K152" s="58"/>
      <c r="L152" s="58"/>
      <c r="M152" s="58"/>
      <c r="N152" s="58"/>
      <c r="O152" s="58"/>
      <c r="P152" s="58"/>
      <c r="Q152" s="58"/>
      <c r="R152" s="58"/>
      <c r="S152" s="58"/>
      <c r="T152" s="58">
        <v>763425</v>
      </c>
      <c r="U152"/>
    </row>
    <row r="153" spans="1:21">
      <c r="A153" s="105" t="s">
        <v>612</v>
      </c>
      <c r="B153" s="58"/>
      <c r="C153" s="58"/>
      <c r="D153" s="58"/>
      <c r="E153" s="58">
        <v>0</v>
      </c>
      <c r="F153" s="58">
        <v>12870000</v>
      </c>
      <c r="G153" s="58">
        <v>0</v>
      </c>
      <c r="H153" s="58"/>
      <c r="I153" s="58">
        <v>0</v>
      </c>
      <c r="J153" s="58"/>
      <c r="K153" s="58"/>
      <c r="L153" s="58"/>
      <c r="M153" s="58"/>
      <c r="N153" s="58">
        <v>0</v>
      </c>
      <c r="O153" s="58">
        <v>0</v>
      </c>
      <c r="P153" s="58">
        <v>0</v>
      </c>
      <c r="Q153" s="58">
        <v>0</v>
      </c>
      <c r="R153" s="58">
        <v>0</v>
      </c>
      <c r="S153" s="58"/>
      <c r="T153" s="58">
        <v>12870000</v>
      </c>
      <c r="U153"/>
    </row>
    <row r="154" spans="1:21">
      <c r="A154" s="104" t="s">
        <v>96</v>
      </c>
      <c r="B154" s="58"/>
      <c r="C154" s="58"/>
      <c r="D154" s="58"/>
      <c r="E154" s="58"/>
      <c r="F154" s="58"/>
      <c r="G154" s="58"/>
      <c r="H154" s="58"/>
      <c r="I154" s="58"/>
      <c r="J154" s="58"/>
      <c r="K154" s="58"/>
      <c r="L154" s="58"/>
      <c r="M154" s="58"/>
      <c r="N154" s="58"/>
      <c r="O154" s="58"/>
      <c r="P154" s="58"/>
      <c r="Q154" s="58"/>
      <c r="R154" s="58"/>
      <c r="S154" s="58"/>
      <c r="T154" s="58"/>
      <c r="U154"/>
    </row>
    <row r="155" spans="1:21">
      <c r="A155" s="105" t="s">
        <v>622</v>
      </c>
      <c r="B155" s="58"/>
      <c r="C155" s="58"/>
      <c r="D155" s="58"/>
      <c r="E155" s="58">
        <v>12976173</v>
      </c>
      <c r="F155" s="58">
        <v>0</v>
      </c>
      <c r="G155" s="58"/>
      <c r="H155" s="58"/>
      <c r="I155" s="58"/>
      <c r="J155" s="58"/>
      <c r="K155" s="58"/>
      <c r="L155" s="58"/>
      <c r="M155" s="58"/>
      <c r="N155" s="58"/>
      <c r="O155" s="58"/>
      <c r="P155" s="58"/>
      <c r="Q155" s="58"/>
      <c r="R155" s="58"/>
      <c r="S155" s="58"/>
      <c r="T155" s="58">
        <v>12976173</v>
      </c>
      <c r="U155"/>
    </row>
    <row r="156" spans="1:21">
      <c r="A156" s="105" t="s">
        <v>614</v>
      </c>
      <c r="B156" s="58"/>
      <c r="C156" s="58"/>
      <c r="D156" s="58"/>
      <c r="E156" s="58">
        <v>0</v>
      </c>
      <c r="F156" s="58">
        <v>775758.23</v>
      </c>
      <c r="G156" s="58"/>
      <c r="H156" s="58"/>
      <c r="I156" s="58"/>
      <c r="J156" s="58"/>
      <c r="K156" s="58"/>
      <c r="L156" s="58"/>
      <c r="M156" s="58"/>
      <c r="N156" s="58"/>
      <c r="O156" s="58"/>
      <c r="P156" s="58"/>
      <c r="Q156" s="58"/>
      <c r="R156" s="58"/>
      <c r="S156" s="58"/>
      <c r="T156" s="58">
        <v>775758.23</v>
      </c>
      <c r="U156"/>
    </row>
    <row r="157" spans="1:21">
      <c r="A157" s="105" t="s">
        <v>616</v>
      </c>
      <c r="B157" s="58"/>
      <c r="C157" s="58"/>
      <c r="D157" s="58"/>
      <c r="E157" s="58">
        <v>0</v>
      </c>
      <c r="F157" s="58">
        <v>300000</v>
      </c>
      <c r="G157" s="58"/>
      <c r="H157" s="58"/>
      <c r="I157" s="58"/>
      <c r="J157" s="58"/>
      <c r="K157" s="58"/>
      <c r="L157" s="58"/>
      <c r="M157" s="58"/>
      <c r="N157" s="58"/>
      <c r="O157" s="58"/>
      <c r="P157" s="58"/>
      <c r="Q157" s="58"/>
      <c r="R157" s="58"/>
      <c r="S157" s="58"/>
      <c r="T157" s="58">
        <v>300000</v>
      </c>
      <c r="U157"/>
    </row>
    <row r="158" spans="1:21">
      <c r="A158" s="105" t="s">
        <v>612</v>
      </c>
      <c r="B158" s="58"/>
      <c r="C158" s="58"/>
      <c r="D158" s="58"/>
      <c r="E158" s="58">
        <v>0</v>
      </c>
      <c r="F158" s="58">
        <v>12676000</v>
      </c>
      <c r="G158" s="58">
        <v>0</v>
      </c>
      <c r="H158" s="58"/>
      <c r="I158" s="58">
        <v>0</v>
      </c>
      <c r="J158" s="58"/>
      <c r="K158" s="58"/>
      <c r="L158" s="58"/>
      <c r="M158" s="58"/>
      <c r="N158" s="58">
        <v>0</v>
      </c>
      <c r="O158" s="58">
        <v>0</v>
      </c>
      <c r="P158" s="58">
        <v>0</v>
      </c>
      <c r="Q158" s="58">
        <v>0</v>
      </c>
      <c r="R158" s="58">
        <v>0</v>
      </c>
      <c r="S158" s="58"/>
      <c r="T158" s="58">
        <v>12676000</v>
      </c>
      <c r="U158"/>
    </row>
    <row r="159" spans="1:21">
      <c r="A159" s="104" t="s">
        <v>88</v>
      </c>
      <c r="B159" s="58"/>
      <c r="C159" s="58"/>
      <c r="D159" s="58"/>
      <c r="E159" s="58"/>
      <c r="F159" s="58"/>
      <c r="G159" s="58"/>
      <c r="H159" s="58"/>
      <c r="I159" s="58"/>
      <c r="J159" s="58"/>
      <c r="K159" s="58"/>
      <c r="L159" s="58"/>
      <c r="M159" s="58"/>
      <c r="N159" s="58"/>
      <c r="O159" s="58"/>
      <c r="P159" s="58"/>
      <c r="Q159" s="58"/>
      <c r="R159" s="58"/>
      <c r="S159" s="58"/>
      <c r="T159" s="58"/>
      <c r="U159"/>
    </row>
    <row r="160" spans="1:21">
      <c r="A160" s="105" t="s">
        <v>622</v>
      </c>
      <c r="B160" s="58"/>
      <c r="C160" s="58"/>
      <c r="D160" s="58"/>
      <c r="E160" s="58">
        <v>177894</v>
      </c>
      <c r="F160" s="58">
        <v>118596</v>
      </c>
      <c r="G160" s="58">
        <v>59298</v>
      </c>
      <c r="H160" s="58">
        <v>0</v>
      </c>
      <c r="I160" s="58"/>
      <c r="J160" s="58"/>
      <c r="K160" s="58"/>
      <c r="L160" s="58"/>
      <c r="M160" s="58"/>
      <c r="N160" s="58"/>
      <c r="O160" s="58"/>
      <c r="P160" s="58"/>
      <c r="Q160" s="58"/>
      <c r="R160" s="58"/>
      <c r="S160" s="58"/>
      <c r="T160" s="58">
        <v>177894</v>
      </c>
      <c r="U160"/>
    </row>
    <row r="161" spans="1:21">
      <c r="A161" s="105" t="s">
        <v>614</v>
      </c>
      <c r="B161" s="58"/>
      <c r="C161" s="58"/>
      <c r="D161" s="58"/>
      <c r="E161" s="58">
        <v>0</v>
      </c>
      <c r="F161" s="58">
        <v>4883.2</v>
      </c>
      <c r="G161" s="58">
        <v>4246.57</v>
      </c>
      <c r="H161" s="58">
        <v>1623.29</v>
      </c>
      <c r="I161" s="58"/>
      <c r="J161" s="58"/>
      <c r="K161" s="58"/>
      <c r="L161" s="58"/>
      <c r="M161" s="58"/>
      <c r="N161" s="58"/>
      <c r="O161" s="58"/>
      <c r="P161" s="58"/>
      <c r="Q161" s="58"/>
      <c r="R161" s="58"/>
      <c r="S161" s="58"/>
      <c r="T161" s="58">
        <v>10753.060000000001</v>
      </c>
      <c r="U161"/>
    </row>
    <row r="162" spans="1:21">
      <c r="A162" s="105" t="s">
        <v>616</v>
      </c>
      <c r="B162" s="58"/>
      <c r="C162" s="58"/>
      <c r="D162" s="58"/>
      <c r="E162" s="58">
        <v>0</v>
      </c>
      <c r="F162" s="58">
        <v>59298.12</v>
      </c>
      <c r="G162" s="58">
        <v>59298.12</v>
      </c>
      <c r="H162" s="58">
        <v>59298.12</v>
      </c>
      <c r="I162" s="58"/>
      <c r="J162" s="58"/>
      <c r="K162" s="58"/>
      <c r="L162" s="58"/>
      <c r="M162" s="58"/>
      <c r="N162" s="58"/>
      <c r="O162" s="58"/>
      <c r="P162" s="58"/>
      <c r="Q162" s="58"/>
      <c r="R162" s="58"/>
      <c r="S162" s="58"/>
      <c r="T162" s="58">
        <v>177894.36000000002</v>
      </c>
      <c r="U162"/>
    </row>
    <row r="163" spans="1:21">
      <c r="A163" s="105" t="s">
        <v>612</v>
      </c>
      <c r="B163" s="58"/>
      <c r="C163" s="58"/>
      <c r="D163" s="58"/>
      <c r="E163" s="58">
        <v>0</v>
      </c>
      <c r="F163" s="58">
        <v>0</v>
      </c>
      <c r="G163" s="58">
        <v>0</v>
      </c>
      <c r="H163" s="58">
        <v>0</v>
      </c>
      <c r="I163" s="58">
        <v>0</v>
      </c>
      <c r="J163" s="58"/>
      <c r="K163" s="58"/>
      <c r="L163" s="58"/>
      <c r="M163" s="58"/>
      <c r="N163" s="58">
        <v>0</v>
      </c>
      <c r="O163" s="58">
        <v>0</v>
      </c>
      <c r="P163" s="58">
        <v>0</v>
      </c>
      <c r="Q163" s="58">
        <v>0</v>
      </c>
      <c r="R163" s="58">
        <v>0</v>
      </c>
      <c r="S163" s="58"/>
      <c r="T163" s="58">
        <v>0</v>
      </c>
      <c r="U163"/>
    </row>
    <row r="164" spans="1:21">
      <c r="A164" s="104" t="s">
        <v>98</v>
      </c>
      <c r="B164" s="58"/>
      <c r="C164" s="58"/>
      <c r="D164" s="58"/>
      <c r="E164" s="58"/>
      <c r="F164" s="58"/>
      <c r="G164" s="58"/>
      <c r="H164" s="58"/>
      <c r="I164" s="58"/>
      <c r="J164" s="58"/>
      <c r="K164" s="58"/>
      <c r="L164" s="58"/>
      <c r="M164" s="58"/>
      <c r="N164" s="58"/>
      <c r="O164" s="58"/>
      <c r="P164" s="58"/>
      <c r="Q164" s="58"/>
      <c r="R164" s="58"/>
      <c r="S164" s="58"/>
      <c r="T164" s="58"/>
      <c r="U164"/>
    </row>
    <row r="165" spans="1:21">
      <c r="A165" s="105" t="s">
        <v>622</v>
      </c>
      <c r="B165" s="58"/>
      <c r="C165" s="58"/>
      <c r="D165" s="58"/>
      <c r="E165" s="58">
        <v>3470494</v>
      </c>
      <c r="F165" s="58">
        <v>0</v>
      </c>
      <c r="G165" s="58"/>
      <c r="H165" s="58"/>
      <c r="I165" s="58"/>
      <c r="J165" s="58"/>
      <c r="K165" s="58"/>
      <c r="L165" s="58"/>
      <c r="M165" s="58"/>
      <c r="N165" s="58"/>
      <c r="O165" s="58"/>
      <c r="P165" s="58"/>
      <c r="Q165" s="58"/>
      <c r="R165" s="58"/>
      <c r="S165" s="58"/>
      <c r="T165" s="58">
        <v>3470494</v>
      </c>
      <c r="U165"/>
    </row>
    <row r="166" spans="1:21">
      <c r="A166" s="105" t="s">
        <v>614</v>
      </c>
      <c r="B166" s="58"/>
      <c r="C166" s="58"/>
      <c r="D166" s="58"/>
      <c r="E166" s="58">
        <v>4316.5</v>
      </c>
      <c r="F166" s="58">
        <v>35188.15</v>
      </c>
      <c r="G166" s="58"/>
      <c r="H166" s="58"/>
      <c r="I166" s="58"/>
      <c r="J166" s="58"/>
      <c r="K166" s="58"/>
      <c r="L166" s="58"/>
      <c r="M166" s="58"/>
      <c r="N166" s="58"/>
      <c r="O166" s="58"/>
      <c r="P166" s="58"/>
      <c r="Q166" s="58"/>
      <c r="R166" s="58"/>
      <c r="S166" s="58"/>
      <c r="T166" s="58">
        <v>39504.65</v>
      </c>
      <c r="U166"/>
    </row>
    <row r="167" spans="1:21">
      <c r="A167" s="105" t="s">
        <v>616</v>
      </c>
      <c r="B167" s="58"/>
      <c r="C167" s="58"/>
      <c r="D167" s="58"/>
      <c r="E167" s="58">
        <v>0</v>
      </c>
      <c r="F167" s="58">
        <v>0</v>
      </c>
      <c r="G167" s="58"/>
      <c r="H167" s="58"/>
      <c r="I167" s="58"/>
      <c r="J167" s="58"/>
      <c r="K167" s="58"/>
      <c r="L167" s="58"/>
      <c r="M167" s="58"/>
      <c r="N167" s="58"/>
      <c r="O167" s="58"/>
      <c r="P167" s="58"/>
      <c r="Q167" s="58"/>
      <c r="R167" s="58"/>
      <c r="S167" s="58"/>
      <c r="T167" s="58">
        <v>0</v>
      </c>
      <c r="U167"/>
    </row>
    <row r="168" spans="1:21">
      <c r="A168" s="105" t="s">
        <v>612</v>
      </c>
      <c r="B168" s="58"/>
      <c r="C168" s="58"/>
      <c r="D168" s="58"/>
      <c r="E168" s="58">
        <v>0</v>
      </c>
      <c r="F168" s="58">
        <v>3470494</v>
      </c>
      <c r="G168" s="58">
        <v>0</v>
      </c>
      <c r="H168" s="58"/>
      <c r="I168" s="58">
        <v>0</v>
      </c>
      <c r="J168" s="58"/>
      <c r="K168" s="58"/>
      <c r="L168" s="58"/>
      <c r="M168" s="58"/>
      <c r="N168" s="58">
        <v>0</v>
      </c>
      <c r="O168" s="58">
        <v>0</v>
      </c>
      <c r="P168" s="58">
        <v>0</v>
      </c>
      <c r="Q168" s="58">
        <v>0</v>
      </c>
      <c r="R168" s="58">
        <v>0</v>
      </c>
      <c r="S168" s="58"/>
      <c r="T168" s="58">
        <v>3470494</v>
      </c>
      <c r="U168"/>
    </row>
    <row r="169" spans="1:21">
      <c r="A169" s="104" t="s">
        <v>105</v>
      </c>
      <c r="B169" s="58"/>
      <c r="C169" s="58"/>
      <c r="D169" s="58"/>
      <c r="E169" s="58"/>
      <c r="F169" s="58"/>
      <c r="G169" s="58"/>
      <c r="H169" s="58"/>
      <c r="I169" s="58"/>
      <c r="J169" s="58"/>
      <c r="K169" s="58"/>
      <c r="L169" s="58"/>
      <c r="M169" s="58"/>
      <c r="N169" s="58"/>
      <c r="O169" s="58"/>
      <c r="P169" s="58"/>
      <c r="Q169" s="58"/>
      <c r="R169" s="58"/>
      <c r="S169" s="58"/>
      <c r="T169" s="58"/>
      <c r="U169"/>
    </row>
    <row r="170" spans="1:21">
      <c r="A170" s="105" t="s">
        <v>622</v>
      </c>
      <c r="B170" s="58"/>
      <c r="C170" s="58"/>
      <c r="D170" s="58"/>
      <c r="E170" s="58">
        <v>9527785</v>
      </c>
      <c r="F170" s="58">
        <v>0</v>
      </c>
      <c r="G170" s="58"/>
      <c r="H170" s="58"/>
      <c r="I170" s="58"/>
      <c r="J170" s="58"/>
      <c r="K170" s="58"/>
      <c r="L170" s="58"/>
      <c r="M170" s="58"/>
      <c r="N170" s="58"/>
      <c r="O170" s="58"/>
      <c r="P170" s="58"/>
      <c r="Q170" s="58"/>
      <c r="R170" s="58"/>
      <c r="S170" s="58"/>
      <c r="T170" s="58">
        <v>9527785</v>
      </c>
      <c r="U170"/>
    </row>
    <row r="171" spans="1:21">
      <c r="A171" s="105" t="s">
        <v>614</v>
      </c>
      <c r="B171" s="58"/>
      <c r="C171" s="58"/>
      <c r="D171" s="58"/>
      <c r="E171" s="58">
        <v>0</v>
      </c>
      <c r="F171" s="58">
        <v>389407.05</v>
      </c>
      <c r="G171" s="58"/>
      <c r="H171" s="58"/>
      <c r="I171" s="58"/>
      <c r="J171" s="58"/>
      <c r="K171" s="58"/>
      <c r="L171" s="58"/>
      <c r="M171" s="58"/>
      <c r="N171" s="58"/>
      <c r="O171" s="58"/>
      <c r="P171" s="58"/>
      <c r="Q171" s="58"/>
      <c r="R171" s="58"/>
      <c r="S171" s="58"/>
      <c r="T171" s="58">
        <v>389407.05</v>
      </c>
      <c r="U171"/>
    </row>
    <row r="172" spans="1:21">
      <c r="A172" s="105" t="s">
        <v>616</v>
      </c>
      <c r="B172" s="58"/>
      <c r="C172" s="58"/>
      <c r="D172" s="58"/>
      <c r="E172" s="58">
        <v>0</v>
      </c>
      <c r="F172" s="58">
        <v>0</v>
      </c>
      <c r="G172" s="58"/>
      <c r="H172" s="58"/>
      <c r="I172" s="58"/>
      <c r="J172" s="58"/>
      <c r="K172" s="58"/>
      <c r="L172" s="58"/>
      <c r="M172" s="58"/>
      <c r="N172" s="58"/>
      <c r="O172" s="58"/>
      <c r="P172" s="58"/>
      <c r="Q172" s="58"/>
      <c r="R172" s="58"/>
      <c r="S172" s="58"/>
      <c r="T172" s="58">
        <v>0</v>
      </c>
      <c r="U172"/>
    </row>
    <row r="173" spans="1:21">
      <c r="A173" s="105" t="s">
        <v>612</v>
      </c>
      <c r="B173" s="58"/>
      <c r="C173" s="58"/>
      <c r="D173" s="58"/>
      <c r="E173" s="58">
        <v>0</v>
      </c>
      <c r="F173" s="58">
        <v>9528000</v>
      </c>
      <c r="G173" s="58">
        <v>0</v>
      </c>
      <c r="H173" s="58"/>
      <c r="I173" s="58">
        <v>0</v>
      </c>
      <c r="J173" s="58"/>
      <c r="K173" s="58"/>
      <c r="L173" s="58"/>
      <c r="M173" s="58"/>
      <c r="N173" s="58">
        <v>0</v>
      </c>
      <c r="O173" s="58">
        <v>0</v>
      </c>
      <c r="P173" s="58">
        <v>0</v>
      </c>
      <c r="Q173" s="58">
        <v>0</v>
      </c>
      <c r="R173" s="58">
        <v>0</v>
      </c>
      <c r="S173" s="58"/>
      <c r="T173" s="58">
        <v>9528000</v>
      </c>
      <c r="U173"/>
    </row>
    <row r="174" spans="1:21">
      <c r="A174" s="104" t="s">
        <v>108</v>
      </c>
      <c r="B174" s="58"/>
      <c r="C174" s="58"/>
      <c r="D174" s="58"/>
      <c r="E174" s="58"/>
      <c r="F174" s="58"/>
      <c r="G174" s="58"/>
      <c r="H174" s="58"/>
      <c r="I174" s="58"/>
      <c r="J174" s="58"/>
      <c r="K174" s="58"/>
      <c r="L174" s="58"/>
      <c r="M174" s="58"/>
      <c r="N174" s="58"/>
      <c r="O174" s="58"/>
      <c r="P174" s="58"/>
      <c r="Q174" s="58"/>
      <c r="R174" s="58"/>
      <c r="S174" s="58"/>
      <c r="T174" s="58"/>
      <c r="U174"/>
    </row>
    <row r="175" spans="1:21">
      <c r="A175" s="105" t="s">
        <v>622</v>
      </c>
      <c r="B175" s="58"/>
      <c r="C175" s="58"/>
      <c r="D175" s="58"/>
      <c r="E175" s="58">
        <v>10829876</v>
      </c>
      <c r="F175" s="58">
        <v>9781580</v>
      </c>
      <c r="G175" s="58">
        <v>0</v>
      </c>
      <c r="H175" s="58"/>
      <c r="I175" s="58"/>
      <c r="J175" s="58"/>
      <c r="K175" s="58"/>
      <c r="L175" s="58"/>
      <c r="M175" s="58"/>
      <c r="N175" s="58"/>
      <c r="O175" s="58"/>
      <c r="P175" s="58"/>
      <c r="Q175" s="58"/>
      <c r="R175" s="58"/>
      <c r="S175" s="58"/>
      <c r="T175" s="58">
        <v>10829876</v>
      </c>
      <c r="U175"/>
    </row>
    <row r="176" spans="1:21">
      <c r="A176" s="105" t="s">
        <v>614</v>
      </c>
      <c r="B176" s="58"/>
      <c r="C176" s="58"/>
      <c r="D176" s="58"/>
      <c r="E176" s="58">
        <v>0</v>
      </c>
      <c r="F176" s="58">
        <v>156139.73000000001</v>
      </c>
      <c r="G176" s="58">
        <v>360002.91</v>
      </c>
      <c r="H176" s="58"/>
      <c r="I176" s="58"/>
      <c r="J176" s="58"/>
      <c r="K176" s="58"/>
      <c r="L176" s="58"/>
      <c r="M176" s="58"/>
      <c r="N176" s="58"/>
      <c r="O176" s="58"/>
      <c r="P176" s="58"/>
      <c r="Q176" s="58"/>
      <c r="R176" s="58"/>
      <c r="S176" s="58"/>
      <c r="T176" s="58">
        <v>516142.64</v>
      </c>
      <c r="U176"/>
    </row>
    <row r="177" spans="1:21">
      <c r="A177" s="105" t="s">
        <v>616</v>
      </c>
      <c r="B177" s="58"/>
      <c r="C177" s="58"/>
      <c r="D177" s="58"/>
      <c r="E177" s="58">
        <v>0</v>
      </c>
      <c r="F177" s="58">
        <v>1048295.54</v>
      </c>
      <c r="G177" s="58">
        <v>937710.32</v>
      </c>
      <c r="H177" s="58"/>
      <c r="I177" s="58"/>
      <c r="J177" s="58"/>
      <c r="K177" s="58"/>
      <c r="L177" s="58"/>
      <c r="M177" s="58"/>
      <c r="N177" s="58"/>
      <c r="O177" s="58"/>
      <c r="P177" s="58"/>
      <c r="Q177" s="58"/>
      <c r="R177" s="58"/>
      <c r="S177" s="58"/>
      <c r="T177" s="58">
        <v>1986005.8599999999</v>
      </c>
      <c r="U177"/>
    </row>
    <row r="178" spans="1:21">
      <c r="A178" s="105" t="s">
        <v>612</v>
      </c>
      <c r="B178" s="58"/>
      <c r="C178" s="58"/>
      <c r="D178" s="58"/>
      <c r="E178" s="58">
        <v>0</v>
      </c>
      <c r="F178" s="58">
        <v>0</v>
      </c>
      <c r="G178" s="58">
        <v>8844000</v>
      </c>
      <c r="H178" s="58">
        <v>0</v>
      </c>
      <c r="I178" s="58">
        <v>0</v>
      </c>
      <c r="J178" s="58"/>
      <c r="K178" s="58"/>
      <c r="L178" s="58"/>
      <c r="M178" s="58"/>
      <c r="N178" s="58">
        <v>0</v>
      </c>
      <c r="O178" s="58">
        <v>0</v>
      </c>
      <c r="P178" s="58">
        <v>0</v>
      </c>
      <c r="Q178" s="58">
        <v>0</v>
      </c>
      <c r="R178" s="58">
        <v>0</v>
      </c>
      <c r="S178" s="58"/>
      <c r="T178" s="58">
        <v>8844000</v>
      </c>
      <c r="U178"/>
    </row>
    <row r="179" spans="1:21">
      <c r="A179" s="104" t="s">
        <v>114</v>
      </c>
      <c r="B179" s="58"/>
      <c r="C179" s="58"/>
      <c r="D179" s="58"/>
      <c r="E179" s="58"/>
      <c r="F179" s="58"/>
      <c r="G179" s="58"/>
      <c r="H179" s="58"/>
      <c r="I179" s="58"/>
      <c r="J179" s="58"/>
      <c r="K179" s="58"/>
      <c r="L179" s="58"/>
      <c r="M179" s="58"/>
      <c r="N179" s="58"/>
      <c r="O179" s="58"/>
      <c r="P179" s="58"/>
      <c r="Q179" s="58"/>
      <c r="R179" s="58"/>
      <c r="S179" s="58"/>
      <c r="T179" s="58"/>
      <c r="U179"/>
    </row>
    <row r="180" spans="1:21">
      <c r="A180" s="105" t="s">
        <v>622</v>
      </c>
      <c r="B180" s="58"/>
      <c r="C180" s="58"/>
      <c r="D180" s="58"/>
      <c r="E180" s="58"/>
      <c r="F180" s="58">
        <v>11000000</v>
      </c>
      <c r="G180" s="58">
        <v>10490235</v>
      </c>
      <c r="H180" s="58">
        <v>0</v>
      </c>
      <c r="I180" s="58"/>
      <c r="J180" s="58"/>
      <c r="K180" s="58"/>
      <c r="L180" s="58"/>
      <c r="M180" s="58"/>
      <c r="N180" s="58"/>
      <c r="O180" s="58"/>
      <c r="P180" s="58"/>
      <c r="Q180" s="58"/>
      <c r="R180" s="58"/>
      <c r="S180" s="58"/>
      <c r="T180" s="58">
        <v>11000000</v>
      </c>
      <c r="U180"/>
    </row>
    <row r="181" spans="1:21">
      <c r="A181" s="105" t="s">
        <v>614</v>
      </c>
      <c r="B181" s="58"/>
      <c r="C181" s="58"/>
      <c r="D181" s="58"/>
      <c r="E181" s="58"/>
      <c r="F181" s="58">
        <v>0</v>
      </c>
      <c r="G181" s="58">
        <v>285704.05</v>
      </c>
      <c r="H181" s="58">
        <v>374347.6</v>
      </c>
      <c r="I181" s="58"/>
      <c r="J181" s="58"/>
      <c r="K181" s="58"/>
      <c r="L181" s="58"/>
      <c r="M181" s="58"/>
      <c r="N181" s="58"/>
      <c r="O181" s="58"/>
      <c r="P181" s="58"/>
      <c r="Q181" s="58"/>
      <c r="R181" s="58"/>
      <c r="S181" s="58"/>
      <c r="T181" s="58">
        <v>660051.64999999991</v>
      </c>
      <c r="U181"/>
    </row>
    <row r="182" spans="1:21">
      <c r="A182" s="105" t="s">
        <v>616</v>
      </c>
      <c r="B182" s="58"/>
      <c r="C182" s="58"/>
      <c r="D182" s="58"/>
      <c r="E182" s="58"/>
      <c r="F182" s="58">
        <v>0</v>
      </c>
      <c r="G182" s="58">
        <v>509765.16</v>
      </c>
      <c r="H182" s="58">
        <v>535253.42000000004</v>
      </c>
      <c r="I182" s="58"/>
      <c r="J182" s="58"/>
      <c r="K182" s="58"/>
      <c r="L182" s="58"/>
      <c r="M182" s="58"/>
      <c r="N182" s="58"/>
      <c r="O182" s="58"/>
      <c r="P182" s="58"/>
      <c r="Q182" s="58"/>
      <c r="R182" s="58"/>
      <c r="S182" s="58"/>
      <c r="T182" s="58">
        <v>1045018.5800000001</v>
      </c>
      <c r="U182"/>
    </row>
    <row r="183" spans="1:21">
      <c r="A183" s="105" t="s">
        <v>612</v>
      </c>
      <c r="B183" s="58"/>
      <c r="C183" s="58"/>
      <c r="D183" s="58"/>
      <c r="E183" s="58">
        <v>0</v>
      </c>
      <c r="F183" s="58">
        <v>0</v>
      </c>
      <c r="G183" s="58">
        <v>0</v>
      </c>
      <c r="H183" s="58">
        <v>11934000</v>
      </c>
      <c r="I183" s="58">
        <v>0</v>
      </c>
      <c r="J183" s="58"/>
      <c r="K183" s="58"/>
      <c r="L183" s="58"/>
      <c r="M183" s="58"/>
      <c r="N183" s="58"/>
      <c r="O183" s="58"/>
      <c r="P183" s="58"/>
      <c r="Q183" s="58"/>
      <c r="R183" s="58"/>
      <c r="S183" s="58"/>
      <c r="T183" s="58">
        <v>11934000</v>
      </c>
      <c r="U183"/>
    </row>
    <row r="184" spans="1:21">
      <c r="A184" s="104" t="s">
        <v>121</v>
      </c>
      <c r="B184" s="58"/>
      <c r="C184" s="58"/>
      <c r="D184" s="58"/>
      <c r="E184" s="58"/>
      <c r="F184" s="58"/>
      <c r="G184" s="58"/>
      <c r="H184" s="58"/>
      <c r="I184" s="58"/>
      <c r="J184" s="58"/>
      <c r="K184" s="58"/>
      <c r="L184" s="58"/>
      <c r="M184" s="58"/>
      <c r="N184" s="58"/>
      <c r="O184" s="58"/>
      <c r="P184" s="58"/>
      <c r="Q184" s="58"/>
      <c r="R184" s="58"/>
      <c r="S184" s="58"/>
      <c r="T184" s="58"/>
      <c r="U184"/>
    </row>
    <row r="185" spans="1:21">
      <c r="A185" s="105" t="s">
        <v>622</v>
      </c>
      <c r="B185" s="58"/>
      <c r="C185" s="58"/>
      <c r="D185" s="58"/>
      <c r="E185" s="58"/>
      <c r="F185" s="58"/>
      <c r="G185" s="58">
        <v>8000000</v>
      </c>
      <c r="H185" s="58">
        <v>0</v>
      </c>
      <c r="I185" s="58"/>
      <c r="J185" s="58"/>
      <c r="K185" s="58"/>
      <c r="L185" s="58"/>
      <c r="M185" s="58"/>
      <c r="N185" s="58"/>
      <c r="O185" s="58"/>
      <c r="P185" s="58"/>
      <c r="Q185" s="58"/>
      <c r="R185" s="58"/>
      <c r="S185" s="58"/>
      <c r="T185" s="58">
        <v>8000000</v>
      </c>
      <c r="U185"/>
    </row>
    <row r="186" spans="1:21">
      <c r="A186" s="105" t="s">
        <v>614</v>
      </c>
      <c r="B186" s="58"/>
      <c r="C186" s="58"/>
      <c r="D186" s="58"/>
      <c r="E186" s="58"/>
      <c r="F186" s="58"/>
      <c r="G186" s="58">
        <v>0</v>
      </c>
      <c r="H186" s="58">
        <v>233420.14</v>
      </c>
      <c r="I186" s="58"/>
      <c r="J186" s="58"/>
      <c r="K186" s="58"/>
      <c r="L186" s="58"/>
      <c r="M186" s="58"/>
      <c r="N186" s="58"/>
      <c r="O186" s="58"/>
      <c r="P186" s="58"/>
      <c r="Q186" s="58"/>
      <c r="R186" s="58"/>
      <c r="S186" s="58"/>
      <c r="T186" s="58">
        <v>233420.14</v>
      </c>
      <c r="U186"/>
    </row>
    <row r="187" spans="1:21">
      <c r="A187" s="105" t="s">
        <v>616</v>
      </c>
      <c r="B187" s="58"/>
      <c r="C187" s="58"/>
      <c r="D187" s="58"/>
      <c r="E187" s="58"/>
      <c r="F187" s="58"/>
      <c r="G187" s="58">
        <v>0</v>
      </c>
      <c r="H187" s="58">
        <v>370738.3</v>
      </c>
      <c r="I187" s="58"/>
      <c r="J187" s="58"/>
      <c r="K187" s="58"/>
      <c r="L187" s="58"/>
      <c r="M187" s="58"/>
      <c r="N187" s="58"/>
      <c r="O187" s="58"/>
      <c r="P187" s="58"/>
      <c r="Q187" s="58"/>
      <c r="R187" s="58"/>
      <c r="S187" s="58"/>
      <c r="T187" s="58">
        <v>370738.3</v>
      </c>
      <c r="U187"/>
    </row>
    <row r="188" spans="1:21">
      <c r="A188" s="105" t="s">
        <v>612</v>
      </c>
      <c r="B188" s="58"/>
      <c r="C188" s="58"/>
      <c r="D188" s="58"/>
      <c r="E188" s="58">
        <v>0</v>
      </c>
      <c r="F188" s="58">
        <v>0</v>
      </c>
      <c r="G188" s="58">
        <v>0</v>
      </c>
      <c r="H188" s="58">
        <v>7629000</v>
      </c>
      <c r="I188" s="58">
        <v>0</v>
      </c>
      <c r="J188" s="58"/>
      <c r="K188" s="58"/>
      <c r="L188" s="58"/>
      <c r="M188" s="58"/>
      <c r="N188" s="58">
        <v>0</v>
      </c>
      <c r="O188" s="58">
        <v>0</v>
      </c>
      <c r="P188" s="58">
        <v>0</v>
      </c>
      <c r="Q188" s="58">
        <v>0</v>
      </c>
      <c r="R188" s="58">
        <v>0</v>
      </c>
      <c r="S188" s="58"/>
      <c r="T188" s="58">
        <v>7629000</v>
      </c>
      <c r="U188"/>
    </row>
    <row r="189" spans="1:21">
      <c r="A189" s="104" t="s">
        <v>125</v>
      </c>
      <c r="B189" s="58"/>
      <c r="C189" s="58"/>
      <c r="D189" s="58"/>
      <c r="E189" s="58"/>
      <c r="F189" s="58"/>
      <c r="G189" s="58"/>
      <c r="H189" s="58"/>
      <c r="I189" s="58"/>
      <c r="J189" s="58"/>
      <c r="K189" s="58"/>
      <c r="L189" s="58"/>
      <c r="M189" s="58"/>
      <c r="N189" s="58"/>
      <c r="O189" s="58"/>
      <c r="P189" s="58"/>
      <c r="Q189" s="58"/>
      <c r="R189" s="58"/>
      <c r="S189" s="58"/>
      <c r="T189" s="58"/>
      <c r="U189"/>
    </row>
    <row r="190" spans="1:21">
      <c r="A190" s="105" t="s">
        <v>622</v>
      </c>
      <c r="B190" s="58"/>
      <c r="C190" s="58"/>
      <c r="D190" s="58"/>
      <c r="E190" s="58"/>
      <c r="F190" s="58">
        <v>14472155</v>
      </c>
      <c r="G190" s="58">
        <v>0</v>
      </c>
      <c r="H190" s="58"/>
      <c r="I190" s="58"/>
      <c r="J190" s="58"/>
      <c r="K190" s="58"/>
      <c r="L190" s="58"/>
      <c r="M190" s="58"/>
      <c r="N190" s="58"/>
      <c r="O190" s="58"/>
      <c r="P190" s="58"/>
      <c r="Q190" s="58"/>
      <c r="R190" s="58"/>
      <c r="S190" s="58"/>
      <c r="T190" s="58">
        <v>14472155</v>
      </c>
      <c r="U190"/>
    </row>
    <row r="191" spans="1:21">
      <c r="A191" s="105" t="s">
        <v>614</v>
      </c>
      <c r="B191" s="58"/>
      <c r="C191" s="58"/>
      <c r="D191" s="58"/>
      <c r="E191" s="58"/>
      <c r="F191" s="58">
        <v>0</v>
      </c>
      <c r="G191" s="58">
        <v>511093.57</v>
      </c>
      <c r="H191" s="58"/>
      <c r="I191" s="58"/>
      <c r="J191" s="58"/>
      <c r="K191" s="58"/>
      <c r="L191" s="58"/>
      <c r="M191" s="58"/>
      <c r="N191" s="58"/>
      <c r="O191" s="58"/>
      <c r="P191" s="58"/>
      <c r="Q191" s="58"/>
      <c r="R191" s="58"/>
      <c r="S191" s="58"/>
      <c r="T191" s="58">
        <v>511093.57</v>
      </c>
      <c r="U191"/>
    </row>
    <row r="192" spans="1:21">
      <c r="A192" s="105" t="s">
        <v>616</v>
      </c>
      <c r="B192" s="58"/>
      <c r="C192" s="58"/>
      <c r="D192" s="58"/>
      <c r="E192" s="58"/>
      <c r="F192" s="58">
        <v>0</v>
      </c>
      <c r="G192" s="58">
        <v>417687.64</v>
      </c>
      <c r="H192" s="58"/>
      <c r="I192" s="58"/>
      <c r="J192" s="58"/>
      <c r="K192" s="58"/>
      <c r="L192" s="58"/>
      <c r="M192" s="58"/>
      <c r="N192" s="58"/>
      <c r="O192" s="58"/>
      <c r="P192" s="58"/>
      <c r="Q192" s="58"/>
      <c r="R192" s="58"/>
      <c r="S192" s="58"/>
      <c r="T192" s="58">
        <v>417687.64</v>
      </c>
      <c r="U192"/>
    </row>
    <row r="193" spans="1:21">
      <c r="A193" s="105" t="s">
        <v>612</v>
      </c>
      <c r="B193" s="58"/>
      <c r="C193" s="58"/>
      <c r="D193" s="58"/>
      <c r="E193" s="58">
        <v>0</v>
      </c>
      <c r="F193" s="58">
        <v>0</v>
      </c>
      <c r="G193" s="58">
        <v>14054000</v>
      </c>
      <c r="H193" s="58">
        <v>0</v>
      </c>
      <c r="I193" s="58">
        <v>0</v>
      </c>
      <c r="J193" s="58"/>
      <c r="K193" s="58"/>
      <c r="L193" s="58"/>
      <c r="M193" s="58"/>
      <c r="N193" s="58">
        <v>0</v>
      </c>
      <c r="O193" s="58">
        <v>0</v>
      </c>
      <c r="P193" s="58">
        <v>0</v>
      </c>
      <c r="Q193" s="58">
        <v>0</v>
      </c>
      <c r="R193" s="58">
        <v>0</v>
      </c>
      <c r="S193" s="58"/>
      <c r="T193" s="58">
        <v>14054000</v>
      </c>
      <c r="U193"/>
    </row>
    <row r="194" spans="1:21">
      <c r="A194" s="104" t="s">
        <v>117</v>
      </c>
      <c r="B194" s="58"/>
      <c r="C194" s="58"/>
      <c r="D194" s="58"/>
      <c r="E194" s="58"/>
      <c r="F194" s="58"/>
      <c r="G194" s="58"/>
      <c r="H194" s="58"/>
      <c r="I194" s="58"/>
      <c r="J194" s="58"/>
      <c r="K194" s="58"/>
      <c r="L194" s="58"/>
      <c r="M194" s="58"/>
      <c r="N194" s="58"/>
      <c r="O194" s="58"/>
      <c r="P194" s="58"/>
      <c r="Q194" s="58"/>
      <c r="R194" s="58"/>
      <c r="S194" s="58"/>
      <c r="T194" s="58"/>
      <c r="U194"/>
    </row>
    <row r="195" spans="1:21">
      <c r="A195" s="105" t="s">
        <v>622</v>
      </c>
      <c r="B195" s="58"/>
      <c r="C195" s="58"/>
      <c r="D195" s="58"/>
      <c r="E195" s="58"/>
      <c r="F195" s="58">
        <v>10833098</v>
      </c>
      <c r="G195" s="58">
        <v>9657641</v>
      </c>
      <c r="H195" s="58">
        <v>0</v>
      </c>
      <c r="I195" s="58"/>
      <c r="J195" s="58"/>
      <c r="K195" s="58"/>
      <c r="L195" s="58"/>
      <c r="M195" s="58"/>
      <c r="N195" s="58"/>
      <c r="O195" s="58"/>
      <c r="P195" s="58"/>
      <c r="Q195" s="58"/>
      <c r="R195" s="58"/>
      <c r="S195" s="58"/>
      <c r="T195" s="58">
        <v>10833098</v>
      </c>
      <c r="U195"/>
    </row>
    <row r="196" spans="1:21">
      <c r="A196" s="105" t="s">
        <v>614</v>
      </c>
      <c r="B196" s="58"/>
      <c r="C196" s="58"/>
      <c r="D196" s="58"/>
      <c r="E196" s="58"/>
      <c r="F196" s="58">
        <v>70554.880000000005</v>
      </c>
      <c r="G196" s="58">
        <v>54917.79</v>
      </c>
      <c r="H196" s="58">
        <v>97377.48</v>
      </c>
      <c r="I196" s="58"/>
      <c r="J196" s="58"/>
      <c r="K196" s="58"/>
      <c r="L196" s="58"/>
      <c r="M196" s="58"/>
      <c r="N196" s="58"/>
      <c r="O196" s="58"/>
      <c r="P196" s="58"/>
      <c r="Q196" s="58"/>
      <c r="R196" s="58"/>
      <c r="S196" s="58"/>
      <c r="T196" s="58">
        <v>222850.15000000002</v>
      </c>
      <c r="U196"/>
    </row>
    <row r="197" spans="1:21">
      <c r="A197" s="105" t="s">
        <v>616</v>
      </c>
      <c r="B197" s="58"/>
      <c r="C197" s="58"/>
      <c r="D197" s="58"/>
      <c r="E197" s="58"/>
      <c r="F197" s="58">
        <v>0</v>
      </c>
      <c r="G197" s="58">
        <v>1175457.19</v>
      </c>
      <c r="H197" s="58">
        <v>0</v>
      </c>
      <c r="I197" s="58"/>
      <c r="J197" s="58"/>
      <c r="K197" s="58"/>
      <c r="L197" s="58"/>
      <c r="M197" s="58"/>
      <c r="N197" s="58"/>
      <c r="O197" s="58"/>
      <c r="P197" s="58"/>
      <c r="Q197" s="58"/>
      <c r="R197" s="58"/>
      <c r="S197" s="58"/>
      <c r="T197" s="58">
        <v>1175457.19</v>
      </c>
      <c r="U197"/>
    </row>
    <row r="198" spans="1:21">
      <c r="A198" s="105" t="s">
        <v>612</v>
      </c>
      <c r="B198" s="58"/>
      <c r="C198" s="58"/>
      <c r="D198" s="58"/>
      <c r="E198" s="58">
        <v>0</v>
      </c>
      <c r="F198" s="58">
        <v>0</v>
      </c>
      <c r="G198" s="58">
        <v>0</v>
      </c>
      <c r="H198" s="58">
        <v>9658000</v>
      </c>
      <c r="I198" s="58">
        <v>0</v>
      </c>
      <c r="J198" s="58"/>
      <c r="K198" s="58"/>
      <c r="L198" s="58"/>
      <c r="M198" s="58"/>
      <c r="N198" s="58">
        <v>0</v>
      </c>
      <c r="O198" s="58">
        <v>0</v>
      </c>
      <c r="P198" s="58">
        <v>0</v>
      </c>
      <c r="Q198" s="58">
        <v>0</v>
      </c>
      <c r="R198" s="58">
        <v>0</v>
      </c>
      <c r="S198" s="58"/>
      <c r="T198" s="58">
        <v>9658000</v>
      </c>
      <c r="U198"/>
    </row>
    <row r="199" spans="1:21">
      <c r="A199" s="104" t="s">
        <v>180</v>
      </c>
      <c r="B199" s="58"/>
      <c r="C199" s="58"/>
      <c r="D199" s="58"/>
      <c r="E199" s="58"/>
      <c r="F199" s="58"/>
      <c r="G199" s="58"/>
      <c r="H199" s="58"/>
      <c r="I199" s="58"/>
      <c r="J199" s="58"/>
      <c r="K199" s="58"/>
      <c r="L199" s="58"/>
      <c r="M199" s="58"/>
      <c r="N199" s="58"/>
      <c r="O199" s="58"/>
      <c r="P199" s="58"/>
      <c r="Q199" s="58"/>
      <c r="R199" s="58"/>
      <c r="S199" s="58"/>
      <c r="T199" s="58"/>
      <c r="U199"/>
    </row>
    <row r="200" spans="1:21">
      <c r="A200" s="105" t="s">
        <v>622</v>
      </c>
      <c r="B200" s="58"/>
      <c r="C200" s="58"/>
      <c r="D200" s="58"/>
      <c r="E200" s="58"/>
      <c r="F200" s="58">
        <v>6992442</v>
      </c>
      <c r="G200" s="58">
        <v>6668397</v>
      </c>
      <c r="H200" s="58">
        <v>0</v>
      </c>
      <c r="I200" s="58"/>
      <c r="J200" s="58"/>
      <c r="K200" s="58"/>
      <c r="L200" s="58"/>
      <c r="M200" s="58"/>
      <c r="N200" s="58"/>
      <c r="O200" s="58"/>
      <c r="P200" s="58"/>
      <c r="Q200" s="58"/>
      <c r="R200" s="58"/>
      <c r="S200" s="58"/>
      <c r="T200" s="58">
        <v>6992442</v>
      </c>
      <c r="U200"/>
    </row>
    <row r="201" spans="1:21">
      <c r="A201" s="105" t="s">
        <v>614</v>
      </c>
      <c r="B201" s="58"/>
      <c r="C201" s="58"/>
      <c r="D201" s="58"/>
      <c r="E201" s="58"/>
      <c r="F201" s="58">
        <v>0</v>
      </c>
      <c r="G201" s="58">
        <v>168944.21</v>
      </c>
      <c r="H201" s="58">
        <v>241888.27</v>
      </c>
      <c r="I201" s="58"/>
      <c r="J201" s="58"/>
      <c r="K201" s="58"/>
      <c r="L201" s="58"/>
      <c r="M201" s="58"/>
      <c r="N201" s="58"/>
      <c r="O201" s="58"/>
      <c r="P201" s="58"/>
      <c r="Q201" s="58"/>
      <c r="R201" s="58"/>
      <c r="S201" s="58"/>
      <c r="T201" s="58">
        <v>410832.48</v>
      </c>
      <c r="U201"/>
    </row>
    <row r="202" spans="1:21">
      <c r="A202" s="105" t="s">
        <v>616</v>
      </c>
      <c r="B202" s="58"/>
      <c r="C202" s="58"/>
      <c r="D202" s="58"/>
      <c r="E202" s="58"/>
      <c r="F202" s="58">
        <v>0</v>
      </c>
      <c r="G202" s="58">
        <v>324045.78000000003</v>
      </c>
      <c r="H202" s="58">
        <v>340248.07</v>
      </c>
      <c r="I202" s="58"/>
      <c r="J202" s="58"/>
      <c r="K202" s="58"/>
      <c r="L202" s="58"/>
      <c r="M202" s="58"/>
      <c r="N202" s="58"/>
      <c r="O202" s="58"/>
      <c r="P202" s="58"/>
      <c r="Q202" s="58"/>
      <c r="R202" s="58"/>
      <c r="S202" s="58"/>
      <c r="T202" s="58">
        <v>664293.85000000009</v>
      </c>
      <c r="U202"/>
    </row>
    <row r="203" spans="1:21">
      <c r="A203" s="105" t="s">
        <v>612</v>
      </c>
      <c r="B203" s="58"/>
      <c r="C203" s="58"/>
      <c r="D203" s="58"/>
      <c r="E203" s="58"/>
      <c r="F203" s="58">
        <v>0</v>
      </c>
      <c r="G203" s="58">
        <v>0</v>
      </c>
      <c r="H203" s="58">
        <v>6787000</v>
      </c>
      <c r="I203" s="58">
        <v>0</v>
      </c>
      <c r="J203" s="58"/>
      <c r="K203" s="58"/>
      <c r="L203" s="58"/>
      <c r="M203" s="58"/>
      <c r="N203" s="58">
        <v>0</v>
      </c>
      <c r="O203" s="58">
        <v>0</v>
      </c>
      <c r="P203" s="58">
        <v>0</v>
      </c>
      <c r="Q203" s="58">
        <v>0</v>
      </c>
      <c r="R203" s="58">
        <v>0</v>
      </c>
      <c r="S203" s="58"/>
      <c r="T203" s="58">
        <v>6787000</v>
      </c>
      <c r="U203"/>
    </row>
    <row r="204" spans="1:21">
      <c r="A204" s="104" t="s">
        <v>186</v>
      </c>
      <c r="B204" s="58"/>
      <c r="C204" s="58"/>
      <c r="D204" s="58"/>
      <c r="E204" s="58"/>
      <c r="F204" s="58"/>
      <c r="G204" s="58"/>
      <c r="H204" s="58"/>
      <c r="I204" s="58"/>
      <c r="J204" s="58"/>
      <c r="K204" s="58"/>
      <c r="L204" s="58"/>
      <c r="M204" s="58"/>
      <c r="N204" s="58"/>
      <c r="O204" s="58"/>
      <c r="P204" s="58"/>
      <c r="Q204" s="58"/>
      <c r="R204" s="58"/>
      <c r="S204" s="58"/>
      <c r="T204" s="58"/>
      <c r="U204"/>
    </row>
    <row r="205" spans="1:21">
      <c r="A205" s="105" t="s">
        <v>622</v>
      </c>
      <c r="B205" s="58"/>
      <c r="C205" s="58"/>
      <c r="D205" s="58"/>
      <c r="E205" s="58"/>
      <c r="F205" s="58">
        <v>9247427</v>
      </c>
      <c r="G205" s="58">
        <v>0</v>
      </c>
      <c r="H205" s="58"/>
      <c r="I205" s="58"/>
      <c r="J205" s="58"/>
      <c r="K205" s="58"/>
      <c r="L205" s="58"/>
      <c r="M205" s="58"/>
      <c r="N205" s="58"/>
      <c r="O205" s="58"/>
      <c r="P205" s="58"/>
      <c r="Q205" s="58"/>
      <c r="R205" s="58"/>
      <c r="S205" s="58"/>
      <c r="T205" s="58">
        <v>9247427</v>
      </c>
      <c r="U205"/>
    </row>
    <row r="206" spans="1:21">
      <c r="A206" s="105" t="s">
        <v>614</v>
      </c>
      <c r="B206" s="58"/>
      <c r="C206" s="58"/>
      <c r="D206" s="58"/>
      <c r="E206" s="58"/>
      <c r="F206" s="58">
        <v>94678.48</v>
      </c>
      <c r="G206" s="58">
        <v>333071.13</v>
      </c>
      <c r="H206" s="58"/>
      <c r="I206" s="58"/>
      <c r="J206" s="58"/>
      <c r="K206" s="58"/>
      <c r="L206" s="58"/>
      <c r="M206" s="58"/>
      <c r="N206" s="58"/>
      <c r="O206" s="58"/>
      <c r="P206" s="58"/>
      <c r="Q206" s="58"/>
      <c r="R206" s="58"/>
      <c r="S206" s="58"/>
      <c r="T206" s="58">
        <v>427749.61</v>
      </c>
      <c r="U206"/>
    </row>
    <row r="207" spans="1:21">
      <c r="A207" s="105" t="s">
        <v>616</v>
      </c>
      <c r="B207" s="58"/>
      <c r="C207" s="58"/>
      <c r="D207" s="58"/>
      <c r="E207" s="58"/>
      <c r="F207" s="58">
        <v>0</v>
      </c>
      <c r="G207" s="58">
        <v>483764.91</v>
      </c>
      <c r="H207" s="58"/>
      <c r="I207" s="58"/>
      <c r="J207" s="58"/>
      <c r="K207" s="58"/>
      <c r="L207" s="58"/>
      <c r="M207" s="58"/>
      <c r="N207" s="58"/>
      <c r="O207" s="58"/>
      <c r="P207" s="58"/>
      <c r="Q207" s="58"/>
      <c r="R207" s="58"/>
      <c r="S207" s="58"/>
      <c r="T207" s="58">
        <v>483764.91</v>
      </c>
      <c r="U207"/>
    </row>
    <row r="208" spans="1:21">
      <c r="A208" s="105" t="s">
        <v>612</v>
      </c>
      <c r="B208" s="58"/>
      <c r="C208" s="58"/>
      <c r="D208" s="58"/>
      <c r="E208" s="58"/>
      <c r="F208" s="58">
        <v>0</v>
      </c>
      <c r="G208" s="58">
        <v>12455000</v>
      </c>
      <c r="H208" s="58">
        <v>0</v>
      </c>
      <c r="I208" s="58">
        <v>0</v>
      </c>
      <c r="J208" s="58"/>
      <c r="K208" s="58"/>
      <c r="L208" s="58"/>
      <c r="M208" s="58"/>
      <c r="N208" s="58">
        <v>0</v>
      </c>
      <c r="O208" s="58">
        <v>0</v>
      </c>
      <c r="P208" s="58">
        <v>0</v>
      </c>
      <c r="Q208" s="58">
        <v>0</v>
      </c>
      <c r="R208" s="58">
        <v>0</v>
      </c>
      <c r="S208" s="58"/>
      <c r="T208" s="58">
        <v>12455000</v>
      </c>
      <c r="U208"/>
    </row>
    <row r="209" spans="1:21">
      <c r="A209" s="104" t="s">
        <v>123</v>
      </c>
      <c r="B209" s="58"/>
      <c r="C209" s="58"/>
      <c r="D209" s="58"/>
      <c r="E209" s="58"/>
      <c r="F209" s="58"/>
      <c r="G209" s="58"/>
      <c r="H209" s="58"/>
      <c r="I209" s="58"/>
      <c r="J209" s="58"/>
      <c r="K209" s="58"/>
      <c r="L209" s="58"/>
      <c r="M209" s="58"/>
      <c r="N209" s="58"/>
      <c r="O209" s="58"/>
      <c r="P209" s="58"/>
      <c r="Q209" s="58"/>
      <c r="R209" s="58"/>
      <c r="S209" s="58"/>
      <c r="T209" s="58"/>
      <c r="U209"/>
    </row>
    <row r="210" spans="1:21">
      <c r="A210" s="105" t="s">
        <v>622</v>
      </c>
      <c r="B210" s="58"/>
      <c r="C210" s="58"/>
      <c r="D210" s="58"/>
      <c r="E210" s="58"/>
      <c r="F210" s="58">
        <v>1808556</v>
      </c>
      <c r="G210" s="58">
        <v>1467702</v>
      </c>
      <c r="H210" s="58">
        <v>1116724</v>
      </c>
      <c r="I210" s="58">
        <v>755323</v>
      </c>
      <c r="J210" s="58">
        <v>383188</v>
      </c>
      <c r="K210" s="58">
        <v>0</v>
      </c>
      <c r="L210" s="58"/>
      <c r="M210" s="58"/>
      <c r="N210" s="58"/>
      <c r="O210" s="58"/>
      <c r="P210" s="58"/>
      <c r="Q210" s="58"/>
      <c r="R210" s="58"/>
      <c r="S210" s="58"/>
      <c r="T210" s="58">
        <v>1808556</v>
      </c>
      <c r="U210"/>
    </row>
    <row r="211" spans="1:21">
      <c r="A211" s="105" t="s">
        <v>614</v>
      </c>
      <c r="B211" s="58"/>
      <c r="C211" s="58"/>
      <c r="D211" s="58"/>
      <c r="E211" s="58"/>
      <c r="F211" s="58">
        <v>0</v>
      </c>
      <c r="G211" s="58">
        <v>50415.28</v>
      </c>
      <c r="H211" s="58">
        <v>43590.75</v>
      </c>
      <c r="I211" s="58">
        <v>33166.71</v>
      </c>
      <c r="J211" s="58">
        <v>22433.09</v>
      </c>
      <c r="K211" s="58">
        <v>11380.67</v>
      </c>
      <c r="L211" s="58"/>
      <c r="M211" s="58"/>
      <c r="N211" s="58"/>
      <c r="O211" s="58"/>
      <c r="P211" s="58"/>
      <c r="Q211" s="58"/>
      <c r="R211" s="58"/>
      <c r="S211" s="58"/>
      <c r="T211" s="58">
        <v>160986.5</v>
      </c>
      <c r="U211"/>
    </row>
    <row r="212" spans="1:21">
      <c r="A212" s="105" t="s">
        <v>616</v>
      </c>
      <c r="B212" s="58"/>
      <c r="C212" s="58"/>
      <c r="D212" s="58"/>
      <c r="E212" s="58"/>
      <c r="F212" s="58">
        <v>0</v>
      </c>
      <c r="G212" s="58">
        <v>340854.16</v>
      </c>
      <c r="H212" s="58">
        <v>350977.52</v>
      </c>
      <c r="I212" s="58">
        <v>361401.56</v>
      </c>
      <c r="J212" s="58">
        <v>372135.18</v>
      </c>
      <c r="K212" s="58">
        <v>383187.62</v>
      </c>
      <c r="L212" s="58"/>
      <c r="M212" s="58"/>
      <c r="N212" s="58"/>
      <c r="O212" s="58"/>
      <c r="P212" s="58"/>
      <c r="Q212" s="58"/>
      <c r="R212" s="58"/>
      <c r="S212" s="58"/>
      <c r="T212" s="58">
        <v>1808556.04</v>
      </c>
      <c r="U212"/>
    </row>
    <row r="213" spans="1:21">
      <c r="A213" s="105" t="s">
        <v>612</v>
      </c>
      <c r="B213" s="58"/>
      <c r="C213" s="58"/>
      <c r="D213" s="58"/>
      <c r="E213" s="58">
        <v>0</v>
      </c>
      <c r="F213" s="58">
        <v>0</v>
      </c>
      <c r="G213" s="58">
        <v>0</v>
      </c>
      <c r="H213" s="58">
        <v>0</v>
      </c>
      <c r="I213" s="58">
        <v>0</v>
      </c>
      <c r="J213" s="58">
        <v>0</v>
      </c>
      <c r="K213" s="58">
        <v>0</v>
      </c>
      <c r="L213" s="58">
        <v>0</v>
      </c>
      <c r="M213" s="58"/>
      <c r="N213" s="58">
        <v>0</v>
      </c>
      <c r="O213" s="58">
        <v>0</v>
      </c>
      <c r="P213" s="58">
        <v>0</v>
      </c>
      <c r="Q213" s="58">
        <v>0</v>
      </c>
      <c r="R213" s="58">
        <v>0</v>
      </c>
      <c r="S213" s="58"/>
      <c r="T213" s="58">
        <v>0</v>
      </c>
      <c r="U213"/>
    </row>
    <row r="214" spans="1:21">
      <c r="A214" s="104" t="s">
        <v>193</v>
      </c>
      <c r="B214" s="58"/>
      <c r="C214" s="58"/>
      <c r="D214" s="58"/>
      <c r="E214" s="58"/>
      <c r="F214" s="58"/>
      <c r="G214" s="58"/>
      <c r="H214" s="58"/>
      <c r="I214" s="58"/>
      <c r="J214" s="58"/>
      <c r="K214" s="58"/>
      <c r="L214" s="58"/>
      <c r="M214" s="58"/>
      <c r="N214" s="58"/>
      <c r="O214" s="58"/>
      <c r="P214" s="58"/>
      <c r="Q214" s="58"/>
      <c r="R214" s="58"/>
      <c r="S214" s="58"/>
      <c r="T214" s="58"/>
      <c r="U214"/>
    </row>
    <row r="215" spans="1:21">
      <c r="A215" s="105" t="s">
        <v>622</v>
      </c>
      <c r="B215" s="58"/>
      <c r="C215" s="58"/>
      <c r="D215" s="58"/>
      <c r="E215" s="58"/>
      <c r="F215" s="58">
        <v>12870042</v>
      </c>
      <c r="G215" s="58">
        <v>0</v>
      </c>
      <c r="H215" s="58"/>
      <c r="I215" s="58"/>
      <c r="J215" s="58"/>
      <c r="K215" s="58"/>
      <c r="L215" s="58"/>
      <c r="M215" s="58"/>
      <c r="N215" s="58"/>
      <c r="O215" s="58"/>
      <c r="P215" s="58"/>
      <c r="Q215" s="58"/>
      <c r="R215" s="58"/>
      <c r="S215" s="58"/>
      <c r="T215" s="58">
        <v>12870042</v>
      </c>
      <c r="U215"/>
    </row>
    <row r="216" spans="1:21">
      <c r="A216" s="105" t="s">
        <v>614</v>
      </c>
      <c r="B216" s="58"/>
      <c r="C216" s="58"/>
      <c r="D216" s="58"/>
      <c r="E216" s="58"/>
      <c r="F216" s="58">
        <v>0</v>
      </c>
      <c r="G216" s="58">
        <v>489329.72</v>
      </c>
      <c r="H216" s="58"/>
      <c r="I216" s="58"/>
      <c r="J216" s="58"/>
      <c r="K216" s="58"/>
      <c r="L216" s="58"/>
      <c r="M216" s="58"/>
      <c r="N216" s="58"/>
      <c r="O216" s="58"/>
      <c r="P216" s="58"/>
      <c r="Q216" s="58"/>
      <c r="R216" s="58"/>
      <c r="S216" s="58"/>
      <c r="T216" s="58">
        <v>489329.72</v>
      </c>
      <c r="U216"/>
    </row>
    <row r="217" spans="1:21">
      <c r="A217" s="105" t="s">
        <v>616</v>
      </c>
      <c r="B217" s="58"/>
      <c r="C217" s="58"/>
      <c r="D217" s="58"/>
      <c r="E217" s="58"/>
      <c r="F217" s="58">
        <v>0</v>
      </c>
      <c r="G217" s="58">
        <v>415000</v>
      </c>
      <c r="H217" s="58"/>
      <c r="I217" s="58"/>
      <c r="J217" s="58"/>
      <c r="K217" s="58"/>
      <c r="L217" s="58"/>
      <c r="M217" s="58"/>
      <c r="N217" s="58"/>
      <c r="O217" s="58"/>
      <c r="P217" s="58"/>
      <c r="Q217" s="58"/>
      <c r="R217" s="58"/>
      <c r="S217" s="58"/>
      <c r="T217" s="58">
        <v>415000</v>
      </c>
      <c r="U217"/>
    </row>
    <row r="218" spans="1:21">
      <c r="A218" s="105" t="s">
        <v>612</v>
      </c>
      <c r="B218" s="58"/>
      <c r="C218" s="58"/>
      <c r="D218" s="58"/>
      <c r="E218" s="58"/>
      <c r="F218" s="58">
        <v>0</v>
      </c>
      <c r="G218" s="58">
        <v>9955000</v>
      </c>
      <c r="H218" s="58">
        <v>0</v>
      </c>
      <c r="I218" s="58">
        <v>0</v>
      </c>
      <c r="J218" s="58"/>
      <c r="K218" s="58"/>
      <c r="L218" s="58"/>
      <c r="M218" s="58"/>
      <c r="N218" s="58">
        <v>0</v>
      </c>
      <c r="O218" s="58">
        <v>0</v>
      </c>
      <c r="P218" s="58">
        <v>0</v>
      </c>
      <c r="Q218" s="58">
        <v>0</v>
      </c>
      <c r="R218" s="58">
        <v>0</v>
      </c>
      <c r="S218" s="58"/>
      <c r="T218" s="58">
        <v>9955000</v>
      </c>
      <c r="U218"/>
    </row>
    <row r="219" spans="1:21">
      <c r="A219" s="104" t="s">
        <v>187</v>
      </c>
      <c r="B219" s="58"/>
      <c r="C219" s="58"/>
      <c r="D219" s="58"/>
      <c r="E219" s="58"/>
      <c r="F219" s="58"/>
      <c r="G219" s="58"/>
      <c r="H219" s="58"/>
      <c r="I219" s="58"/>
      <c r="J219" s="58"/>
      <c r="K219" s="58"/>
      <c r="L219" s="58"/>
      <c r="M219" s="58"/>
      <c r="N219" s="58"/>
      <c r="O219" s="58"/>
      <c r="P219" s="58"/>
      <c r="Q219" s="58"/>
      <c r="R219" s="58"/>
      <c r="S219" s="58"/>
      <c r="T219" s="58"/>
      <c r="U219"/>
    </row>
    <row r="220" spans="1:21">
      <c r="A220" s="105" t="s">
        <v>622</v>
      </c>
      <c r="B220" s="58"/>
      <c r="C220" s="58"/>
      <c r="D220" s="58"/>
      <c r="E220" s="58"/>
      <c r="F220" s="58">
        <v>16962587</v>
      </c>
      <c r="G220" s="58">
        <v>0</v>
      </c>
      <c r="H220" s="58"/>
      <c r="I220" s="58"/>
      <c r="J220" s="58"/>
      <c r="K220" s="58"/>
      <c r="L220" s="58"/>
      <c r="M220" s="58"/>
      <c r="N220" s="58"/>
      <c r="O220" s="58"/>
      <c r="P220" s="58"/>
      <c r="Q220" s="58"/>
      <c r="R220" s="58"/>
      <c r="S220" s="58"/>
      <c r="T220" s="58">
        <v>16962587</v>
      </c>
      <c r="U220"/>
    </row>
    <row r="221" spans="1:21">
      <c r="A221" s="105" t="s">
        <v>614</v>
      </c>
      <c r="B221" s="58"/>
      <c r="C221" s="58"/>
      <c r="D221" s="58"/>
      <c r="E221" s="58"/>
      <c r="F221" s="58">
        <v>0</v>
      </c>
      <c r="G221" s="58">
        <v>773918.04</v>
      </c>
      <c r="H221" s="58"/>
      <c r="I221" s="58"/>
      <c r="J221" s="58"/>
      <c r="K221" s="58"/>
      <c r="L221" s="58"/>
      <c r="M221" s="58"/>
      <c r="N221" s="58"/>
      <c r="O221" s="58"/>
      <c r="P221" s="58"/>
      <c r="Q221" s="58"/>
      <c r="R221" s="58"/>
      <c r="S221" s="58"/>
      <c r="T221" s="58">
        <v>773918.04</v>
      </c>
      <c r="U221"/>
    </row>
    <row r="222" spans="1:21">
      <c r="A222" s="105" t="s">
        <v>616</v>
      </c>
      <c r="B222" s="58"/>
      <c r="C222" s="58"/>
      <c r="D222" s="58"/>
      <c r="E222" s="58"/>
      <c r="F222" s="58">
        <v>0</v>
      </c>
      <c r="G222" s="58">
        <v>445000</v>
      </c>
      <c r="H222" s="58"/>
      <c r="I222" s="58"/>
      <c r="J222" s="58"/>
      <c r="K222" s="58"/>
      <c r="L222" s="58"/>
      <c r="M222" s="58"/>
      <c r="N222" s="58"/>
      <c r="O222" s="58"/>
      <c r="P222" s="58"/>
      <c r="Q222" s="58"/>
      <c r="R222" s="58"/>
      <c r="S222" s="58"/>
      <c r="T222" s="58">
        <v>445000</v>
      </c>
      <c r="U222"/>
    </row>
    <row r="223" spans="1:21">
      <c r="A223" s="105" t="s">
        <v>612</v>
      </c>
      <c r="B223" s="58"/>
      <c r="C223" s="58"/>
      <c r="D223" s="58"/>
      <c r="E223" s="58"/>
      <c r="F223" s="58">
        <v>0</v>
      </c>
      <c r="G223" s="58">
        <v>16518000</v>
      </c>
      <c r="H223" s="58">
        <v>0</v>
      </c>
      <c r="I223" s="58">
        <v>0</v>
      </c>
      <c r="J223" s="58"/>
      <c r="K223" s="58"/>
      <c r="L223" s="58"/>
      <c r="M223" s="58"/>
      <c r="N223" s="58">
        <v>0</v>
      </c>
      <c r="O223" s="58">
        <v>0</v>
      </c>
      <c r="P223" s="58">
        <v>0</v>
      </c>
      <c r="Q223" s="58">
        <v>0</v>
      </c>
      <c r="R223" s="58">
        <v>0</v>
      </c>
      <c r="S223" s="58"/>
      <c r="T223" s="58">
        <v>16518000</v>
      </c>
      <c r="U223"/>
    </row>
    <row r="224" spans="1:21">
      <c r="A224" s="104" t="s">
        <v>183</v>
      </c>
      <c r="B224" s="58"/>
      <c r="C224" s="58"/>
      <c r="D224" s="58"/>
      <c r="E224" s="58"/>
      <c r="F224" s="58"/>
      <c r="G224" s="58"/>
      <c r="H224" s="58"/>
      <c r="I224" s="58"/>
      <c r="J224" s="58"/>
      <c r="K224" s="58"/>
      <c r="L224" s="58"/>
      <c r="M224" s="58"/>
      <c r="N224" s="58"/>
      <c r="O224" s="58"/>
      <c r="P224" s="58"/>
      <c r="Q224" s="58"/>
      <c r="R224" s="58"/>
      <c r="S224" s="58"/>
      <c r="T224" s="58"/>
      <c r="U224"/>
    </row>
    <row r="225" spans="1:21">
      <c r="A225" s="105" t="s">
        <v>622</v>
      </c>
      <c r="B225" s="58"/>
      <c r="C225" s="58"/>
      <c r="D225" s="58"/>
      <c r="E225" s="58"/>
      <c r="F225" s="58">
        <v>2503519</v>
      </c>
      <c r="G225" s="58">
        <v>0</v>
      </c>
      <c r="H225" s="58"/>
      <c r="I225" s="58"/>
      <c r="J225" s="58"/>
      <c r="K225" s="58"/>
      <c r="L225" s="58"/>
      <c r="M225" s="58"/>
      <c r="N225" s="58"/>
      <c r="O225" s="58"/>
      <c r="P225" s="58"/>
      <c r="Q225" s="58"/>
      <c r="R225" s="58"/>
      <c r="S225" s="58"/>
      <c r="T225" s="58">
        <v>2503519</v>
      </c>
      <c r="U225"/>
    </row>
    <row r="226" spans="1:21">
      <c r="A226" s="105" t="s">
        <v>614</v>
      </c>
      <c r="B226" s="58"/>
      <c r="C226" s="58"/>
      <c r="D226" s="58"/>
      <c r="E226" s="58"/>
      <c r="F226" s="58">
        <v>0</v>
      </c>
      <c r="G226" s="58">
        <v>59776.73</v>
      </c>
      <c r="H226" s="58"/>
      <c r="I226" s="58"/>
      <c r="J226" s="58"/>
      <c r="K226" s="58"/>
      <c r="L226" s="58"/>
      <c r="M226" s="58"/>
      <c r="N226" s="58"/>
      <c r="O226" s="58"/>
      <c r="P226" s="58"/>
      <c r="Q226" s="58"/>
      <c r="R226" s="58"/>
      <c r="S226" s="58"/>
      <c r="T226" s="58">
        <v>59776.73</v>
      </c>
      <c r="U226"/>
    </row>
    <row r="227" spans="1:21">
      <c r="A227" s="105" t="s">
        <v>616</v>
      </c>
      <c r="B227" s="58"/>
      <c r="C227" s="58"/>
      <c r="D227" s="58"/>
      <c r="E227" s="58"/>
      <c r="F227" s="58">
        <v>0</v>
      </c>
      <c r="G227" s="58">
        <v>2503519</v>
      </c>
      <c r="H227" s="58"/>
      <c r="I227" s="58"/>
      <c r="J227" s="58"/>
      <c r="K227" s="58"/>
      <c r="L227" s="58"/>
      <c r="M227" s="58"/>
      <c r="N227" s="58"/>
      <c r="O227" s="58"/>
      <c r="P227" s="58"/>
      <c r="Q227" s="58"/>
      <c r="R227" s="58"/>
      <c r="S227" s="58"/>
      <c r="T227" s="58">
        <v>2503519</v>
      </c>
      <c r="U227"/>
    </row>
    <row r="228" spans="1:21">
      <c r="A228" s="105" t="s">
        <v>612</v>
      </c>
      <c r="B228" s="58"/>
      <c r="C228" s="58"/>
      <c r="D228" s="58"/>
      <c r="E228" s="58"/>
      <c r="F228" s="58">
        <v>0</v>
      </c>
      <c r="G228" s="58">
        <v>0</v>
      </c>
      <c r="H228" s="58">
        <v>0</v>
      </c>
      <c r="I228" s="58">
        <v>0</v>
      </c>
      <c r="J228" s="58">
        <v>0</v>
      </c>
      <c r="K228" s="58">
        <v>0</v>
      </c>
      <c r="L228" s="58">
        <v>0</v>
      </c>
      <c r="M228" s="58">
        <v>0</v>
      </c>
      <c r="N228" s="58">
        <v>0</v>
      </c>
      <c r="O228" s="58">
        <v>0</v>
      </c>
      <c r="P228" s="58">
        <v>0</v>
      </c>
      <c r="Q228" s="58">
        <v>0</v>
      </c>
      <c r="R228" s="58">
        <v>0</v>
      </c>
      <c r="S228" s="58"/>
      <c r="T228" s="58">
        <v>0</v>
      </c>
      <c r="U228"/>
    </row>
    <row r="229" spans="1:21">
      <c r="A229" s="104" t="s">
        <v>185</v>
      </c>
      <c r="B229" s="58"/>
      <c r="C229" s="58"/>
      <c r="D229" s="58"/>
      <c r="E229" s="58"/>
      <c r="F229" s="58"/>
      <c r="G229" s="58"/>
      <c r="H229" s="58"/>
      <c r="I229" s="58"/>
      <c r="J229" s="58"/>
      <c r="K229" s="58"/>
      <c r="L229" s="58"/>
      <c r="M229" s="58"/>
      <c r="N229" s="58"/>
      <c r="O229" s="58"/>
      <c r="P229" s="58"/>
      <c r="Q229" s="58"/>
      <c r="R229" s="58"/>
      <c r="S229" s="58"/>
      <c r="T229" s="58"/>
      <c r="U229"/>
    </row>
    <row r="230" spans="1:21">
      <c r="A230" s="105" t="s">
        <v>622</v>
      </c>
      <c r="B230" s="58"/>
      <c r="C230" s="58"/>
      <c r="D230" s="58"/>
      <c r="E230" s="58"/>
      <c r="F230" s="58">
        <v>3425073</v>
      </c>
      <c r="G230" s="58">
        <v>3031453</v>
      </c>
      <c r="H230" s="58">
        <v>2628433</v>
      </c>
      <c r="I230" s="58">
        <v>2215791</v>
      </c>
      <c r="J230" s="58">
        <v>1793296</v>
      </c>
      <c r="K230" s="58">
        <v>1360714</v>
      </c>
      <c r="L230" s="58">
        <v>917802</v>
      </c>
      <c r="M230" s="58">
        <v>464315</v>
      </c>
      <c r="N230" s="58">
        <v>0</v>
      </c>
      <c r="O230" s="58"/>
      <c r="P230" s="58"/>
      <c r="Q230" s="58"/>
      <c r="R230" s="58"/>
      <c r="S230" s="58"/>
      <c r="T230" s="58">
        <v>3425073</v>
      </c>
      <c r="U230"/>
    </row>
    <row r="231" spans="1:21">
      <c r="A231" s="105" t="s">
        <v>614</v>
      </c>
      <c r="B231" s="58"/>
      <c r="C231" s="58"/>
      <c r="D231" s="58"/>
      <c r="E231" s="58"/>
      <c r="F231" s="58">
        <v>0</v>
      </c>
      <c r="G231" s="58">
        <v>81780.759999999995</v>
      </c>
      <c r="H231" s="58">
        <v>106560.92</v>
      </c>
      <c r="I231" s="58">
        <v>118861.26</v>
      </c>
      <c r="J231" s="58">
        <v>114687.2</v>
      </c>
      <c r="K231" s="58">
        <v>34145.86</v>
      </c>
      <c r="L231" s="58">
        <v>19121.43</v>
      </c>
      <c r="M231" s="58">
        <v>6877.86</v>
      </c>
      <c r="N231" s="58">
        <v>6877.86</v>
      </c>
      <c r="O231" s="58"/>
      <c r="P231" s="58"/>
      <c r="Q231" s="58"/>
      <c r="R231" s="58"/>
      <c r="S231" s="58"/>
      <c r="T231" s="58">
        <v>488913.14999999997</v>
      </c>
      <c r="U231"/>
    </row>
    <row r="232" spans="1:21">
      <c r="A232" s="105" t="s">
        <v>616</v>
      </c>
      <c r="B232" s="58"/>
      <c r="C232" s="58"/>
      <c r="D232" s="58"/>
      <c r="E232" s="58"/>
      <c r="F232" s="58">
        <v>0</v>
      </c>
      <c r="G232" s="58">
        <v>393620.71</v>
      </c>
      <c r="H232" s="58">
        <v>403019.23</v>
      </c>
      <c r="I232" s="58">
        <v>412642.15</v>
      </c>
      <c r="J232" s="58">
        <v>422494.84</v>
      </c>
      <c r="K232" s="58">
        <v>432582.79</v>
      </c>
      <c r="L232" s="58">
        <v>442911.9</v>
      </c>
      <c r="M232" s="58">
        <v>464314.98</v>
      </c>
      <c r="N232" s="58">
        <v>464314.98</v>
      </c>
      <c r="O232" s="58"/>
      <c r="P232" s="58"/>
      <c r="Q232" s="58"/>
      <c r="R232" s="58"/>
      <c r="S232" s="58"/>
      <c r="T232" s="58">
        <v>3435901.58</v>
      </c>
      <c r="U232"/>
    </row>
    <row r="233" spans="1:21">
      <c r="A233" s="105" t="s">
        <v>612</v>
      </c>
      <c r="B233" s="58"/>
      <c r="C233" s="58"/>
      <c r="D233" s="58"/>
      <c r="E233" s="58"/>
      <c r="F233" s="58">
        <v>0</v>
      </c>
      <c r="G233" s="58">
        <v>0</v>
      </c>
      <c r="H233" s="58">
        <v>0</v>
      </c>
      <c r="I233" s="58">
        <v>0</v>
      </c>
      <c r="J233" s="58">
        <v>0</v>
      </c>
      <c r="K233" s="58">
        <v>0</v>
      </c>
      <c r="L233" s="58">
        <v>0</v>
      </c>
      <c r="M233" s="58">
        <v>0</v>
      </c>
      <c r="N233" s="58">
        <v>0</v>
      </c>
      <c r="O233" s="58">
        <v>0</v>
      </c>
      <c r="P233" s="58">
        <v>0</v>
      </c>
      <c r="Q233" s="58">
        <v>0</v>
      </c>
      <c r="R233" s="58">
        <v>0</v>
      </c>
      <c r="S233" s="58"/>
      <c r="T233" s="58">
        <v>0</v>
      </c>
      <c r="U233"/>
    </row>
    <row r="234" spans="1:21">
      <c r="A234" s="104" t="s">
        <v>199</v>
      </c>
      <c r="B234" s="58"/>
      <c r="C234" s="58"/>
      <c r="D234" s="58"/>
      <c r="E234" s="58"/>
      <c r="F234" s="58"/>
      <c r="G234" s="58"/>
      <c r="H234" s="58"/>
      <c r="I234" s="58"/>
      <c r="J234" s="58"/>
      <c r="K234" s="58"/>
      <c r="L234" s="58"/>
      <c r="M234" s="58"/>
      <c r="N234" s="58"/>
      <c r="O234" s="58"/>
      <c r="P234" s="58"/>
      <c r="Q234" s="58"/>
      <c r="R234" s="58"/>
      <c r="S234" s="58"/>
      <c r="T234" s="58"/>
      <c r="U234"/>
    </row>
    <row r="235" spans="1:21">
      <c r="A235" s="105" t="s">
        <v>622</v>
      </c>
      <c r="B235" s="58"/>
      <c r="C235" s="58"/>
      <c r="D235" s="58"/>
      <c r="E235" s="58"/>
      <c r="F235" s="58"/>
      <c r="G235" s="58">
        <v>11244942</v>
      </c>
      <c r="H235" s="58">
        <v>10091897</v>
      </c>
      <c r="I235" s="58">
        <v>8921473</v>
      </c>
      <c r="J235" s="58">
        <v>7740150</v>
      </c>
      <c r="K235" s="58">
        <v>0</v>
      </c>
      <c r="L235" s="58"/>
      <c r="M235" s="58"/>
      <c r="N235" s="58"/>
      <c r="O235" s="58"/>
      <c r="P235" s="58"/>
      <c r="Q235" s="58"/>
      <c r="R235" s="58"/>
      <c r="S235" s="58"/>
      <c r="T235" s="58">
        <v>11244942</v>
      </c>
      <c r="U235"/>
    </row>
    <row r="236" spans="1:21">
      <c r="A236" s="105" t="s">
        <v>614</v>
      </c>
      <c r="B236" s="58"/>
      <c r="C236" s="58"/>
      <c r="D236" s="58"/>
      <c r="E236" s="58"/>
      <c r="F236" s="58"/>
      <c r="G236" s="58">
        <v>0</v>
      </c>
      <c r="H236" s="58">
        <v>413970.04</v>
      </c>
      <c r="I236" s="58">
        <v>297542.77</v>
      </c>
      <c r="J236" s="58">
        <v>262316.07</v>
      </c>
      <c r="K236" s="58">
        <v>277581.90000000002</v>
      </c>
      <c r="L236" s="58"/>
      <c r="M236" s="58"/>
      <c r="N236" s="58"/>
      <c r="O236" s="58"/>
      <c r="P236" s="58"/>
      <c r="Q236" s="58"/>
      <c r="R236" s="58"/>
      <c r="S236" s="58"/>
      <c r="T236" s="58">
        <v>1251410.7800000003</v>
      </c>
      <c r="U236"/>
    </row>
    <row r="237" spans="1:21">
      <c r="A237" s="105" t="s">
        <v>616</v>
      </c>
      <c r="B237" s="58"/>
      <c r="C237" s="58"/>
      <c r="D237" s="58"/>
      <c r="E237" s="58"/>
      <c r="F237" s="58"/>
      <c r="G237" s="58">
        <v>0</v>
      </c>
      <c r="H237" s="58">
        <v>1153044.8400000001</v>
      </c>
      <c r="I237" s="58">
        <v>1170424.6299999999</v>
      </c>
      <c r="J237" s="58">
        <v>1181323</v>
      </c>
      <c r="K237" s="58">
        <v>509496</v>
      </c>
      <c r="L237" s="58"/>
      <c r="M237" s="58"/>
      <c r="N237" s="58"/>
      <c r="O237" s="58"/>
      <c r="P237" s="58"/>
      <c r="Q237" s="58"/>
      <c r="R237" s="58"/>
      <c r="S237" s="58"/>
      <c r="T237" s="58">
        <v>4014288.4699999997</v>
      </c>
      <c r="U237"/>
    </row>
    <row r="238" spans="1:21">
      <c r="A238" s="105" t="s">
        <v>612</v>
      </c>
      <c r="B238" s="58"/>
      <c r="C238" s="58"/>
      <c r="D238" s="58"/>
      <c r="E238" s="58"/>
      <c r="F238" s="58">
        <v>0</v>
      </c>
      <c r="G238" s="58">
        <v>0</v>
      </c>
      <c r="H238" s="58">
        <v>0</v>
      </c>
      <c r="I238" s="58">
        <v>0</v>
      </c>
      <c r="J238" s="58">
        <v>0</v>
      </c>
      <c r="K238" s="58">
        <v>7231000</v>
      </c>
      <c r="L238" s="58">
        <v>0</v>
      </c>
      <c r="M238" s="58"/>
      <c r="N238" s="58"/>
      <c r="O238" s="58"/>
      <c r="P238" s="58"/>
      <c r="Q238" s="58"/>
      <c r="R238" s="58"/>
      <c r="S238" s="58"/>
      <c r="T238" s="58">
        <v>7231000</v>
      </c>
      <c r="U238"/>
    </row>
    <row r="239" spans="1:21">
      <c r="A239" s="104" t="s">
        <v>195</v>
      </c>
      <c r="B239" s="58"/>
      <c r="C239" s="58"/>
      <c r="D239" s="58"/>
      <c r="E239" s="58"/>
      <c r="F239" s="58"/>
      <c r="G239" s="58"/>
      <c r="H239" s="58"/>
      <c r="I239" s="58"/>
      <c r="J239" s="58"/>
      <c r="K239" s="58"/>
      <c r="L239" s="58"/>
      <c r="M239" s="58"/>
      <c r="N239" s="58"/>
      <c r="O239" s="58"/>
      <c r="P239" s="58"/>
      <c r="Q239" s="58"/>
      <c r="R239" s="58"/>
      <c r="S239" s="58"/>
      <c r="T239" s="58"/>
      <c r="U239"/>
    </row>
    <row r="240" spans="1:21">
      <c r="A240" s="105" t="s">
        <v>622</v>
      </c>
      <c r="B240" s="58"/>
      <c r="C240" s="58"/>
      <c r="D240" s="58"/>
      <c r="E240" s="58"/>
      <c r="F240" s="58"/>
      <c r="G240" s="58">
        <v>0</v>
      </c>
      <c r="H240" s="58">
        <v>0</v>
      </c>
      <c r="I240" s="58"/>
      <c r="J240" s="58"/>
      <c r="K240" s="58"/>
      <c r="L240" s="58"/>
      <c r="M240" s="58"/>
      <c r="N240" s="58"/>
      <c r="O240" s="58"/>
      <c r="P240" s="58"/>
      <c r="Q240" s="58"/>
      <c r="R240" s="58"/>
      <c r="S240" s="58"/>
      <c r="T240" s="58">
        <v>0</v>
      </c>
      <c r="U240"/>
    </row>
    <row r="241" spans="1:21">
      <c r="A241" s="105" t="s">
        <v>614</v>
      </c>
      <c r="B241" s="58"/>
      <c r="C241" s="58"/>
      <c r="D241" s="58"/>
      <c r="E241" s="58"/>
      <c r="F241" s="58"/>
      <c r="G241" s="58"/>
      <c r="H241" s="58">
        <v>94145.9</v>
      </c>
      <c r="I241" s="58"/>
      <c r="J241" s="58"/>
      <c r="K241" s="58"/>
      <c r="L241" s="58"/>
      <c r="M241" s="58"/>
      <c r="N241" s="58"/>
      <c r="O241" s="58"/>
      <c r="P241" s="58"/>
      <c r="Q241" s="58"/>
      <c r="R241" s="58"/>
      <c r="S241" s="58"/>
      <c r="T241" s="58">
        <v>94145.9</v>
      </c>
      <c r="U241"/>
    </row>
    <row r="242" spans="1:21">
      <c r="A242" s="105" t="s">
        <v>616</v>
      </c>
      <c r="B242" s="58"/>
      <c r="C242" s="58"/>
      <c r="D242" s="58"/>
      <c r="E242" s="58"/>
      <c r="F242" s="58"/>
      <c r="G242" s="58"/>
      <c r="H242" s="58">
        <v>584321</v>
      </c>
      <c r="I242" s="58"/>
      <c r="J242" s="58"/>
      <c r="K242" s="58"/>
      <c r="L242" s="58"/>
      <c r="M242" s="58"/>
      <c r="N242" s="58"/>
      <c r="O242" s="58"/>
      <c r="P242" s="58"/>
      <c r="Q242" s="58"/>
      <c r="R242" s="58"/>
      <c r="S242" s="58"/>
      <c r="T242" s="58">
        <v>584321</v>
      </c>
      <c r="U242"/>
    </row>
    <row r="243" spans="1:21">
      <c r="A243" s="105" t="s">
        <v>612</v>
      </c>
      <c r="B243" s="58"/>
      <c r="C243" s="58"/>
      <c r="D243" s="58"/>
      <c r="E243" s="58"/>
      <c r="F243" s="58">
        <v>0</v>
      </c>
      <c r="G243" s="58">
        <v>0</v>
      </c>
      <c r="H243" s="58">
        <v>9754000</v>
      </c>
      <c r="I243" s="58">
        <v>0</v>
      </c>
      <c r="J243" s="58"/>
      <c r="K243" s="58"/>
      <c r="L243" s="58"/>
      <c r="M243" s="58"/>
      <c r="N243" s="58">
        <v>0</v>
      </c>
      <c r="O243" s="58">
        <v>0</v>
      </c>
      <c r="P243" s="58">
        <v>0</v>
      </c>
      <c r="Q243" s="58">
        <v>0</v>
      </c>
      <c r="R243" s="58">
        <v>0</v>
      </c>
      <c r="S243" s="58"/>
      <c r="T243" s="58">
        <v>9754000</v>
      </c>
      <c r="U243"/>
    </row>
    <row r="244" spans="1:21">
      <c r="A244" s="104" t="s">
        <v>197</v>
      </c>
      <c r="B244" s="58"/>
      <c r="C244" s="58"/>
      <c r="D244" s="58"/>
      <c r="E244" s="58"/>
      <c r="F244" s="58"/>
      <c r="G244" s="58"/>
      <c r="H244" s="58"/>
      <c r="I244" s="58"/>
      <c r="J244" s="58"/>
      <c r="K244" s="58"/>
      <c r="L244" s="58"/>
      <c r="M244" s="58"/>
      <c r="N244" s="58"/>
      <c r="O244" s="58"/>
      <c r="P244" s="58"/>
      <c r="Q244" s="58"/>
      <c r="R244" s="58"/>
      <c r="S244" s="58"/>
      <c r="T244" s="58"/>
      <c r="U244"/>
    </row>
    <row r="245" spans="1:21">
      <c r="A245" s="105" t="s">
        <v>622</v>
      </c>
      <c r="B245" s="58"/>
      <c r="C245" s="58"/>
      <c r="D245" s="58"/>
      <c r="E245" s="58"/>
      <c r="F245" s="58"/>
      <c r="G245" s="58">
        <v>15694824</v>
      </c>
      <c r="H245" s="58">
        <v>0</v>
      </c>
      <c r="I245" s="58"/>
      <c r="J245" s="58"/>
      <c r="K245" s="58"/>
      <c r="L245" s="58"/>
      <c r="M245" s="58"/>
      <c r="N245" s="58"/>
      <c r="O245" s="58"/>
      <c r="P245" s="58"/>
      <c r="Q245" s="58"/>
      <c r="R245" s="58"/>
      <c r="S245" s="58"/>
      <c r="T245" s="58">
        <v>15694824</v>
      </c>
      <c r="U245"/>
    </row>
    <row r="246" spans="1:21">
      <c r="A246" s="105" t="s">
        <v>614</v>
      </c>
      <c r="B246" s="58"/>
      <c r="C246" s="58"/>
      <c r="D246" s="58"/>
      <c r="E246" s="58"/>
      <c r="F246" s="58"/>
      <c r="G246" s="58">
        <v>64562.95</v>
      </c>
      <c r="H246" s="58">
        <v>511324.11</v>
      </c>
      <c r="I246" s="58"/>
      <c r="J246" s="58"/>
      <c r="K246" s="58"/>
      <c r="L246" s="58"/>
      <c r="M246" s="58"/>
      <c r="N246" s="58"/>
      <c r="O246" s="58"/>
      <c r="P246" s="58"/>
      <c r="Q246" s="58"/>
      <c r="R246" s="58"/>
      <c r="S246" s="58"/>
      <c r="T246" s="58">
        <v>575887.05999999994</v>
      </c>
      <c r="U246"/>
    </row>
    <row r="247" spans="1:21">
      <c r="A247" s="105" t="s">
        <v>616</v>
      </c>
      <c r="B247" s="58"/>
      <c r="C247" s="58"/>
      <c r="D247" s="58"/>
      <c r="E247" s="58"/>
      <c r="F247" s="58"/>
      <c r="G247" s="58">
        <v>0</v>
      </c>
      <c r="H247" s="58">
        <v>693954.64</v>
      </c>
      <c r="I247" s="58"/>
      <c r="J247" s="58"/>
      <c r="K247" s="58"/>
      <c r="L247" s="58"/>
      <c r="M247" s="58"/>
      <c r="N247" s="58"/>
      <c r="O247" s="58"/>
      <c r="P247" s="58"/>
      <c r="Q247" s="58"/>
      <c r="R247" s="58"/>
      <c r="S247" s="58"/>
      <c r="T247" s="58">
        <v>693954.64</v>
      </c>
      <c r="U247"/>
    </row>
    <row r="248" spans="1:21">
      <c r="A248" s="105" t="s">
        <v>612</v>
      </c>
      <c r="B248" s="58"/>
      <c r="C248" s="58"/>
      <c r="D248" s="58"/>
      <c r="E248" s="58"/>
      <c r="F248" s="58">
        <v>0</v>
      </c>
      <c r="G248" s="58">
        <v>0</v>
      </c>
      <c r="H248" s="58">
        <v>15001000</v>
      </c>
      <c r="I248" s="58">
        <v>0</v>
      </c>
      <c r="J248" s="58"/>
      <c r="K248" s="58"/>
      <c r="L248" s="58"/>
      <c r="M248" s="58"/>
      <c r="N248" s="58"/>
      <c r="O248" s="58"/>
      <c r="P248" s="58"/>
      <c r="Q248" s="58"/>
      <c r="R248" s="58"/>
      <c r="S248" s="58"/>
      <c r="T248" s="58">
        <v>15001000</v>
      </c>
      <c r="U248"/>
    </row>
    <row r="249" spans="1:21">
      <c r="A249" s="104" t="s">
        <v>215</v>
      </c>
      <c r="B249" s="58"/>
      <c r="C249" s="58"/>
      <c r="D249" s="58"/>
      <c r="E249" s="58"/>
      <c r="F249" s="58"/>
      <c r="G249" s="58"/>
      <c r="H249" s="58"/>
      <c r="I249" s="58"/>
      <c r="J249" s="58"/>
      <c r="K249" s="58"/>
      <c r="L249" s="58"/>
      <c r="M249" s="58"/>
      <c r="N249" s="58"/>
      <c r="O249" s="58"/>
      <c r="P249" s="58"/>
      <c r="Q249" s="58"/>
      <c r="R249" s="58"/>
      <c r="S249" s="58"/>
      <c r="T249" s="58"/>
      <c r="U249"/>
    </row>
    <row r="250" spans="1:21">
      <c r="A250" s="105" t="s">
        <v>622</v>
      </c>
      <c r="B250" s="58"/>
      <c r="C250" s="58"/>
      <c r="D250" s="58"/>
      <c r="E250" s="58"/>
      <c r="F250" s="58"/>
      <c r="G250" s="58">
        <v>8533804</v>
      </c>
      <c r="H250" s="58">
        <v>11724387</v>
      </c>
      <c r="I250" s="58">
        <v>11246513</v>
      </c>
      <c r="J250" s="58">
        <v>0</v>
      </c>
      <c r="K250" s="58"/>
      <c r="L250" s="58"/>
      <c r="M250" s="58"/>
      <c r="N250" s="58"/>
      <c r="O250" s="58"/>
      <c r="P250" s="58"/>
      <c r="Q250" s="58"/>
      <c r="R250" s="58"/>
      <c r="S250" s="58"/>
      <c r="T250" s="58">
        <v>11724387</v>
      </c>
      <c r="U250"/>
    </row>
    <row r="251" spans="1:21">
      <c r="A251" s="105" t="s">
        <v>614</v>
      </c>
      <c r="B251" s="58"/>
      <c r="C251" s="58"/>
      <c r="D251" s="58"/>
      <c r="E251" s="58"/>
      <c r="F251" s="58"/>
      <c r="G251" s="58">
        <v>23877.37</v>
      </c>
      <c r="H251" s="58">
        <v>320943.37</v>
      </c>
      <c r="I251" s="58">
        <v>395737.14</v>
      </c>
      <c r="J251" s="58">
        <v>437864.24</v>
      </c>
      <c r="K251" s="58"/>
      <c r="L251" s="58"/>
      <c r="M251" s="58"/>
      <c r="N251" s="58"/>
      <c r="O251" s="58"/>
      <c r="P251" s="58"/>
      <c r="Q251" s="58"/>
      <c r="R251" s="58"/>
      <c r="S251" s="58"/>
      <c r="T251" s="58">
        <v>1178422.1200000001</v>
      </c>
      <c r="U251"/>
    </row>
    <row r="252" spans="1:21">
      <c r="A252" s="105" t="s">
        <v>616</v>
      </c>
      <c r="B252" s="58"/>
      <c r="C252" s="58"/>
      <c r="D252" s="58"/>
      <c r="E252" s="58"/>
      <c r="F252" s="58"/>
      <c r="G252" s="58">
        <v>0</v>
      </c>
      <c r="H252" s="58">
        <v>275613</v>
      </c>
      <c r="I252" s="58">
        <v>477874</v>
      </c>
      <c r="J252" s="58">
        <v>435224</v>
      </c>
      <c r="K252" s="58"/>
      <c r="L252" s="58"/>
      <c r="M252" s="58"/>
      <c r="N252" s="58"/>
      <c r="O252" s="58"/>
      <c r="P252" s="58"/>
      <c r="Q252" s="58"/>
      <c r="R252" s="58"/>
      <c r="S252" s="58"/>
      <c r="T252" s="58">
        <v>1188711</v>
      </c>
      <c r="U252"/>
    </row>
    <row r="253" spans="1:21">
      <c r="A253" s="105" t="s">
        <v>612</v>
      </c>
      <c r="B253" s="58"/>
      <c r="C253" s="58"/>
      <c r="D253" s="58"/>
      <c r="E253" s="58"/>
      <c r="F253" s="58">
        <v>0</v>
      </c>
      <c r="G253" s="58">
        <v>0</v>
      </c>
      <c r="H253" s="58">
        <v>0</v>
      </c>
      <c r="I253" s="58">
        <v>0</v>
      </c>
      <c r="J253" s="58">
        <v>10811000</v>
      </c>
      <c r="K253" s="58">
        <v>0</v>
      </c>
      <c r="L253" s="58"/>
      <c r="M253" s="58"/>
      <c r="N253" s="58">
        <v>0</v>
      </c>
      <c r="O253" s="58">
        <v>0</v>
      </c>
      <c r="P253" s="58">
        <v>0</v>
      </c>
      <c r="Q253" s="58">
        <v>0</v>
      </c>
      <c r="R253" s="58">
        <v>0</v>
      </c>
      <c r="S253" s="58"/>
      <c r="T253" s="58">
        <v>10811000</v>
      </c>
      <c r="U253"/>
    </row>
    <row r="254" spans="1:21">
      <c r="A254" s="104" t="s">
        <v>461</v>
      </c>
      <c r="B254" s="58"/>
      <c r="C254" s="58"/>
      <c r="D254" s="58"/>
      <c r="E254" s="58"/>
      <c r="F254" s="58"/>
      <c r="G254" s="58"/>
      <c r="H254" s="58"/>
      <c r="I254" s="58"/>
      <c r="J254" s="58"/>
      <c r="K254" s="58"/>
      <c r="L254" s="58"/>
      <c r="M254" s="58"/>
      <c r="N254" s="58"/>
      <c r="O254" s="58"/>
      <c r="P254" s="58"/>
      <c r="Q254" s="58"/>
      <c r="R254" s="58"/>
      <c r="S254" s="58"/>
      <c r="T254" s="58"/>
      <c r="U254"/>
    </row>
    <row r="255" spans="1:21">
      <c r="A255" s="105" t="s">
        <v>622</v>
      </c>
      <c r="B255" s="58"/>
      <c r="C255" s="58"/>
      <c r="D255" s="58"/>
      <c r="E255" s="58"/>
      <c r="F255" s="58"/>
      <c r="G255" s="58">
        <v>7343608</v>
      </c>
      <c r="H255" s="58">
        <v>0</v>
      </c>
      <c r="I255" s="58"/>
      <c r="J255" s="58"/>
      <c r="K255" s="58"/>
      <c r="L255" s="58"/>
      <c r="M255" s="58"/>
      <c r="N255" s="58"/>
      <c r="O255" s="58"/>
      <c r="P255" s="58"/>
      <c r="Q255" s="58"/>
      <c r="R255" s="58"/>
      <c r="S255" s="58"/>
      <c r="T255" s="58">
        <v>7343608</v>
      </c>
      <c r="U255"/>
    </row>
    <row r="256" spans="1:21">
      <c r="A256" s="105" t="s">
        <v>614</v>
      </c>
      <c r="B256" s="58"/>
      <c r="C256" s="58"/>
      <c r="D256" s="58"/>
      <c r="E256" s="58"/>
      <c r="F256" s="58"/>
      <c r="G256" s="58">
        <v>20547.240000000002</v>
      </c>
      <c r="H256" s="58">
        <v>45720.08</v>
      </c>
      <c r="I256" s="58"/>
      <c r="J256" s="58"/>
      <c r="K256" s="58"/>
      <c r="L256" s="58"/>
      <c r="M256" s="58"/>
      <c r="N256" s="58"/>
      <c r="O256" s="58"/>
      <c r="P256" s="58"/>
      <c r="Q256" s="58"/>
      <c r="R256" s="58"/>
      <c r="S256" s="58"/>
      <c r="T256" s="58">
        <v>66267.320000000007</v>
      </c>
      <c r="U256"/>
    </row>
    <row r="257" spans="1:21">
      <c r="A257" s="105" t="s">
        <v>616</v>
      </c>
      <c r="B257" s="58"/>
      <c r="C257" s="58"/>
      <c r="D257" s="58"/>
      <c r="E257" s="58"/>
      <c r="F257" s="58"/>
      <c r="G257" s="58">
        <v>0</v>
      </c>
      <c r="H257" s="58">
        <v>0</v>
      </c>
      <c r="I257" s="58"/>
      <c r="J257" s="58"/>
      <c r="K257" s="58"/>
      <c r="L257" s="58"/>
      <c r="M257" s="58"/>
      <c r="N257" s="58"/>
      <c r="O257" s="58"/>
      <c r="P257" s="58"/>
      <c r="Q257" s="58"/>
      <c r="R257" s="58"/>
      <c r="S257" s="58"/>
      <c r="T257" s="58">
        <v>0</v>
      </c>
      <c r="U257"/>
    </row>
    <row r="258" spans="1:21">
      <c r="A258" s="105" t="s">
        <v>612</v>
      </c>
      <c r="B258" s="58"/>
      <c r="C258" s="58"/>
      <c r="D258" s="58"/>
      <c r="E258" s="58"/>
      <c r="F258" s="58"/>
      <c r="G258" s="58">
        <v>0</v>
      </c>
      <c r="H258" s="58">
        <v>10344000</v>
      </c>
      <c r="I258" s="58"/>
      <c r="J258" s="58"/>
      <c r="K258" s="58"/>
      <c r="L258" s="58"/>
      <c r="M258" s="58"/>
      <c r="N258" s="58"/>
      <c r="O258" s="58"/>
      <c r="P258" s="58"/>
      <c r="Q258" s="58"/>
      <c r="R258" s="58"/>
      <c r="S258" s="58"/>
      <c r="T258" s="58">
        <v>10344000</v>
      </c>
      <c r="U258"/>
    </row>
    <row r="259" spans="1:21">
      <c r="A259" s="104" t="s">
        <v>217</v>
      </c>
      <c r="B259" s="58"/>
      <c r="C259" s="58"/>
      <c r="D259" s="58"/>
      <c r="E259" s="58"/>
      <c r="F259" s="58"/>
      <c r="G259" s="58"/>
      <c r="H259" s="58"/>
      <c r="I259" s="58"/>
      <c r="J259" s="58"/>
      <c r="K259" s="58"/>
      <c r="L259" s="58"/>
      <c r="M259" s="58"/>
      <c r="N259" s="58"/>
      <c r="O259" s="58"/>
      <c r="P259" s="58"/>
      <c r="Q259" s="58"/>
      <c r="R259" s="58"/>
      <c r="S259" s="58"/>
      <c r="T259" s="58"/>
      <c r="U259"/>
    </row>
    <row r="260" spans="1:21">
      <c r="A260" s="105" t="s">
        <v>622</v>
      </c>
      <c r="B260" s="58"/>
      <c r="C260" s="58"/>
      <c r="D260" s="58"/>
      <c r="E260" s="58"/>
      <c r="F260" s="58"/>
      <c r="G260" s="58">
        <v>8511853</v>
      </c>
      <c r="H260" s="58">
        <v>11724387</v>
      </c>
      <c r="I260" s="58">
        <v>0</v>
      </c>
      <c r="J260" s="58"/>
      <c r="K260" s="58"/>
      <c r="L260" s="58"/>
      <c r="M260" s="58"/>
      <c r="N260" s="58"/>
      <c r="O260" s="58"/>
      <c r="P260" s="58"/>
      <c r="Q260" s="58"/>
      <c r="R260" s="58"/>
      <c r="S260" s="58"/>
      <c r="T260" s="58">
        <v>11724387</v>
      </c>
      <c r="U260"/>
    </row>
    <row r="261" spans="1:21">
      <c r="A261" s="105" t="s">
        <v>614</v>
      </c>
      <c r="B261" s="58"/>
      <c r="C261" s="58"/>
      <c r="D261" s="58"/>
      <c r="E261" s="58"/>
      <c r="F261" s="58"/>
      <c r="G261" s="58">
        <v>23815.95</v>
      </c>
      <c r="H261" s="58">
        <v>354983.38</v>
      </c>
      <c r="I261" s="58">
        <v>356401.82</v>
      </c>
      <c r="J261" s="58"/>
      <c r="K261" s="58"/>
      <c r="L261" s="58"/>
      <c r="M261" s="58"/>
      <c r="N261" s="58"/>
      <c r="O261" s="58"/>
      <c r="P261" s="58"/>
      <c r="Q261" s="58"/>
      <c r="R261" s="58"/>
      <c r="S261" s="58"/>
      <c r="T261" s="58">
        <v>735201.15</v>
      </c>
      <c r="U261"/>
    </row>
    <row r="262" spans="1:21">
      <c r="A262" s="105" t="s">
        <v>616</v>
      </c>
      <c r="B262" s="58"/>
      <c r="C262" s="58"/>
      <c r="D262" s="58"/>
      <c r="E262" s="58"/>
      <c r="F262" s="58"/>
      <c r="G262" s="58">
        <v>0</v>
      </c>
      <c r="H262" s="58">
        <v>275613</v>
      </c>
      <c r="I262" s="58">
        <v>477874</v>
      </c>
      <c r="J262" s="58"/>
      <c r="K262" s="58"/>
      <c r="L262" s="58"/>
      <c r="M262" s="58"/>
      <c r="N262" s="58"/>
      <c r="O262" s="58"/>
      <c r="P262" s="58"/>
      <c r="Q262" s="58"/>
      <c r="R262" s="58"/>
      <c r="S262" s="58"/>
      <c r="T262" s="58">
        <v>753487</v>
      </c>
      <c r="U262"/>
    </row>
    <row r="263" spans="1:21">
      <c r="A263" s="105" t="s">
        <v>612</v>
      </c>
      <c r="B263" s="58"/>
      <c r="C263" s="58"/>
      <c r="D263" s="58"/>
      <c r="E263" s="58"/>
      <c r="F263" s="58">
        <v>0</v>
      </c>
      <c r="G263" s="58">
        <v>0</v>
      </c>
      <c r="H263" s="58">
        <v>0</v>
      </c>
      <c r="I263" s="58">
        <v>11247000</v>
      </c>
      <c r="J263" s="58">
        <v>0</v>
      </c>
      <c r="K263" s="58"/>
      <c r="L263" s="58"/>
      <c r="M263" s="58"/>
      <c r="N263" s="58">
        <v>0</v>
      </c>
      <c r="O263" s="58">
        <v>0</v>
      </c>
      <c r="P263" s="58">
        <v>0</v>
      </c>
      <c r="Q263" s="58">
        <v>0</v>
      </c>
      <c r="R263" s="58">
        <v>0</v>
      </c>
      <c r="S263" s="58"/>
      <c r="T263" s="58">
        <v>11247000</v>
      </c>
      <c r="U263"/>
    </row>
    <row r="264" spans="1:21">
      <c r="A264" s="104" t="s">
        <v>207</v>
      </c>
      <c r="B264" s="58"/>
      <c r="C264" s="58"/>
      <c r="D264" s="58"/>
      <c r="E264" s="58"/>
      <c r="F264" s="58"/>
      <c r="G264" s="58"/>
      <c r="H264" s="58"/>
      <c r="I264" s="58"/>
      <c r="J264" s="58"/>
      <c r="K264" s="58"/>
      <c r="L264" s="58"/>
      <c r="M264" s="58"/>
      <c r="N264" s="58"/>
      <c r="O264" s="58"/>
      <c r="P264" s="58"/>
      <c r="Q264" s="58"/>
      <c r="R264" s="58"/>
      <c r="S264" s="58"/>
      <c r="T264" s="58"/>
      <c r="U264"/>
    </row>
    <row r="265" spans="1:21">
      <c r="A265" s="105" t="s">
        <v>622</v>
      </c>
      <c r="B265" s="58"/>
      <c r="C265" s="58"/>
      <c r="D265" s="58"/>
      <c r="E265" s="58"/>
      <c r="F265" s="58"/>
      <c r="G265" s="58">
        <v>5000000</v>
      </c>
      <c r="H265" s="58">
        <v>4743162</v>
      </c>
      <c r="I265" s="58">
        <v>4477025</v>
      </c>
      <c r="J265" s="58">
        <v>4201255</v>
      </c>
      <c r="K265" s="58">
        <v>3915502</v>
      </c>
      <c r="L265" s="58">
        <v>3619405</v>
      </c>
      <c r="M265" s="58">
        <v>3312589</v>
      </c>
      <c r="N265" s="58">
        <v>2994666</v>
      </c>
      <c r="O265" s="58">
        <v>2665234</v>
      </c>
      <c r="P265" s="58">
        <v>2323877</v>
      </c>
      <c r="Q265" s="58">
        <v>1970163</v>
      </c>
      <c r="R265" s="58">
        <v>1603645</v>
      </c>
      <c r="S265" s="58">
        <v>1223858</v>
      </c>
      <c r="T265" s="58">
        <v>5000000</v>
      </c>
      <c r="U265"/>
    </row>
    <row r="266" spans="1:21">
      <c r="A266" s="105" t="s">
        <v>614</v>
      </c>
      <c r="B266" s="58"/>
      <c r="C266" s="58"/>
      <c r="D266" s="58"/>
      <c r="E266" s="58"/>
      <c r="F266" s="58"/>
      <c r="G266" s="58"/>
      <c r="H266" s="58">
        <v>181000</v>
      </c>
      <c r="I266" s="58">
        <v>171702.45</v>
      </c>
      <c r="J266" s="58">
        <v>162068.32</v>
      </c>
      <c r="K266" s="58">
        <v>152085.44</v>
      </c>
      <c r="L266" s="58">
        <v>141741.18</v>
      </c>
      <c r="M266" s="58">
        <v>106803.39</v>
      </c>
      <c r="N266" s="58">
        <v>119915.72</v>
      </c>
      <c r="O266" s="58">
        <v>204959.94</v>
      </c>
      <c r="P266" s="58">
        <v>182413.09</v>
      </c>
      <c r="Q266" s="58">
        <v>159460.59</v>
      </c>
      <c r="R266" s="58">
        <v>134667.23000000001</v>
      </c>
      <c r="S266" s="58">
        <v>109756.12</v>
      </c>
      <c r="T266" s="58">
        <v>1826573.4700000002</v>
      </c>
      <c r="U266"/>
    </row>
    <row r="267" spans="1:21">
      <c r="A267" s="105" t="s">
        <v>616</v>
      </c>
      <c r="B267" s="58"/>
      <c r="C267" s="58"/>
      <c r="D267" s="58"/>
      <c r="E267" s="58"/>
      <c r="F267" s="58"/>
      <c r="G267" s="58"/>
      <c r="H267" s="58">
        <v>256838.5</v>
      </c>
      <c r="I267" s="58">
        <v>266136.05</v>
      </c>
      <c r="J267" s="58">
        <v>275770.18</v>
      </c>
      <c r="K267" s="58">
        <v>285753.06</v>
      </c>
      <c r="L267" s="58">
        <v>296097.32</v>
      </c>
      <c r="M267" s="58">
        <v>317922.78000000003</v>
      </c>
      <c r="N267" s="58">
        <v>317922.78000000003</v>
      </c>
      <c r="O267" s="58">
        <v>329431.59000000003</v>
      </c>
      <c r="P267" s="58">
        <v>341357.01</v>
      </c>
      <c r="Q267" s="58">
        <v>353714.14</v>
      </c>
      <c r="R267" s="58">
        <v>366518.59</v>
      </c>
      <c r="S267" s="58">
        <v>379786.56</v>
      </c>
      <c r="T267" s="58">
        <v>3787248.5600000005</v>
      </c>
      <c r="U267"/>
    </row>
    <row r="268" spans="1:21">
      <c r="A268" s="105" t="s">
        <v>612</v>
      </c>
      <c r="B268" s="58"/>
      <c r="C268" s="58"/>
      <c r="D268" s="58"/>
      <c r="E268" s="58"/>
      <c r="F268" s="58">
        <v>0</v>
      </c>
      <c r="G268" s="58">
        <v>0</v>
      </c>
      <c r="H268" s="58">
        <v>0</v>
      </c>
      <c r="I268" s="58">
        <v>0</v>
      </c>
      <c r="J268" s="58">
        <v>0</v>
      </c>
      <c r="K268" s="58">
        <v>0</v>
      </c>
      <c r="L268" s="58">
        <v>0</v>
      </c>
      <c r="M268" s="58">
        <v>0</v>
      </c>
      <c r="N268" s="58">
        <v>0</v>
      </c>
      <c r="O268" s="58">
        <v>0</v>
      </c>
      <c r="P268" s="58">
        <v>0</v>
      </c>
      <c r="Q268" s="58">
        <v>0</v>
      </c>
      <c r="R268" s="58">
        <v>0</v>
      </c>
      <c r="S268" s="58">
        <v>0</v>
      </c>
      <c r="T268" s="58">
        <v>0</v>
      </c>
      <c r="U268"/>
    </row>
    <row r="269" spans="1:21">
      <c r="A269" s="104" t="s">
        <v>213</v>
      </c>
      <c r="B269" s="58"/>
      <c r="C269" s="58"/>
      <c r="D269" s="58"/>
      <c r="E269" s="58"/>
      <c r="F269" s="58"/>
      <c r="G269" s="58"/>
      <c r="H269" s="58"/>
      <c r="I269" s="58"/>
      <c r="J269" s="58"/>
      <c r="K269" s="58"/>
      <c r="L269" s="58"/>
      <c r="M269" s="58"/>
      <c r="N269" s="58"/>
      <c r="O269" s="58"/>
      <c r="P269" s="58"/>
      <c r="Q269" s="58"/>
      <c r="R269" s="58"/>
      <c r="S269" s="58"/>
      <c r="T269" s="58"/>
      <c r="U269"/>
    </row>
    <row r="270" spans="1:21">
      <c r="A270" s="105" t="s">
        <v>622</v>
      </c>
      <c r="B270" s="58"/>
      <c r="C270" s="58"/>
      <c r="D270" s="58"/>
      <c r="E270" s="58"/>
      <c r="F270" s="58"/>
      <c r="G270" s="58">
        <v>14054467</v>
      </c>
      <c r="H270" s="58">
        <v>13207481</v>
      </c>
      <c r="I270" s="58">
        <v>0</v>
      </c>
      <c r="J270" s="58"/>
      <c r="K270" s="58"/>
      <c r="L270" s="58"/>
      <c r="M270" s="58"/>
      <c r="N270" s="58"/>
      <c r="O270" s="58"/>
      <c r="P270" s="58"/>
      <c r="Q270" s="58"/>
      <c r="R270" s="58"/>
      <c r="S270" s="58"/>
      <c r="T270" s="58">
        <v>14054467</v>
      </c>
      <c r="U270"/>
    </row>
    <row r="271" spans="1:21">
      <c r="A271" s="105" t="s">
        <v>614</v>
      </c>
      <c r="B271" s="58"/>
      <c r="C271" s="58"/>
      <c r="D271" s="58"/>
      <c r="E271" s="58"/>
      <c r="F271" s="58"/>
      <c r="G271" s="58">
        <v>0</v>
      </c>
      <c r="H271" s="58">
        <v>338025.56</v>
      </c>
      <c r="I271" s="58">
        <v>424312.34</v>
      </c>
      <c r="J271" s="58"/>
      <c r="K271" s="58"/>
      <c r="L271" s="58"/>
      <c r="M271" s="58"/>
      <c r="N271" s="58"/>
      <c r="O271" s="58"/>
      <c r="P271" s="58"/>
      <c r="Q271" s="58"/>
      <c r="R271" s="58"/>
      <c r="S271" s="58"/>
      <c r="T271" s="58">
        <v>762337.9</v>
      </c>
      <c r="U271"/>
    </row>
    <row r="272" spans="1:21">
      <c r="A272" s="105" t="s">
        <v>616</v>
      </c>
      <c r="B272" s="58"/>
      <c r="C272" s="58"/>
      <c r="D272" s="58"/>
      <c r="E272" s="58"/>
      <c r="F272" s="58"/>
      <c r="G272" s="58">
        <v>0</v>
      </c>
      <c r="H272" s="58">
        <v>846986.41</v>
      </c>
      <c r="I272" s="58">
        <v>896238.5</v>
      </c>
      <c r="J272" s="58"/>
      <c r="K272" s="58"/>
      <c r="L272" s="58"/>
      <c r="M272" s="58"/>
      <c r="N272" s="58"/>
      <c r="O272" s="58"/>
      <c r="P272" s="58"/>
      <c r="Q272" s="58"/>
      <c r="R272" s="58"/>
      <c r="S272" s="58"/>
      <c r="T272" s="58">
        <v>1743224.9100000001</v>
      </c>
      <c r="U272"/>
    </row>
    <row r="273" spans="1:21">
      <c r="A273" s="105" t="s">
        <v>612</v>
      </c>
      <c r="B273" s="58"/>
      <c r="C273" s="58"/>
      <c r="D273" s="58"/>
      <c r="E273" s="58"/>
      <c r="F273" s="58">
        <v>0</v>
      </c>
      <c r="G273" s="58">
        <v>0</v>
      </c>
      <c r="H273" s="58">
        <v>0</v>
      </c>
      <c r="I273" s="58">
        <v>12311000</v>
      </c>
      <c r="J273" s="58">
        <v>0</v>
      </c>
      <c r="K273" s="58"/>
      <c r="L273" s="58"/>
      <c r="M273" s="58"/>
      <c r="N273" s="58"/>
      <c r="O273" s="58"/>
      <c r="P273" s="58"/>
      <c r="Q273" s="58"/>
      <c r="R273" s="58"/>
      <c r="S273" s="58"/>
      <c r="T273" s="58">
        <v>12311000</v>
      </c>
      <c r="U273"/>
    </row>
    <row r="274" spans="1:21">
      <c r="A274" s="104" t="s">
        <v>211</v>
      </c>
      <c r="B274" s="58"/>
      <c r="C274" s="58"/>
      <c r="D274" s="58"/>
      <c r="E274" s="58"/>
      <c r="F274" s="58"/>
      <c r="G274" s="58"/>
      <c r="H274" s="58"/>
      <c r="I274" s="58"/>
      <c r="J274" s="58"/>
      <c r="K274" s="58"/>
      <c r="L274" s="58"/>
      <c r="M274" s="58"/>
      <c r="N274" s="58"/>
      <c r="O274" s="58"/>
      <c r="P274" s="58"/>
      <c r="Q274" s="58"/>
      <c r="R274" s="58"/>
      <c r="S274" s="58"/>
      <c r="T274" s="58"/>
      <c r="U274"/>
    </row>
    <row r="275" spans="1:21">
      <c r="A275" s="105" t="s">
        <v>622</v>
      </c>
      <c r="B275" s="58"/>
      <c r="C275" s="58"/>
      <c r="D275" s="58"/>
      <c r="E275" s="58"/>
      <c r="F275" s="58"/>
      <c r="G275" s="58">
        <v>16517587</v>
      </c>
      <c r="H275" s="58">
        <v>16517587</v>
      </c>
      <c r="I275" s="58">
        <v>15837587</v>
      </c>
      <c r="J275" s="58">
        <v>15274621</v>
      </c>
      <c r="K275" s="58">
        <v>14683506</v>
      </c>
      <c r="L275" s="58"/>
      <c r="M275" s="58"/>
      <c r="N275" s="58"/>
      <c r="O275" s="58"/>
      <c r="P275" s="58"/>
      <c r="Q275" s="58"/>
      <c r="R275" s="58"/>
      <c r="S275" s="58"/>
      <c r="T275" s="58">
        <v>16517587</v>
      </c>
      <c r="U275"/>
    </row>
    <row r="276" spans="1:21">
      <c r="A276" s="105" t="s">
        <v>614</v>
      </c>
      <c r="B276" s="58"/>
      <c r="C276" s="58"/>
      <c r="D276" s="58"/>
      <c r="E276" s="58"/>
      <c r="F276" s="58"/>
      <c r="G276" s="58">
        <v>0</v>
      </c>
      <c r="H276" s="58">
        <v>659831.72</v>
      </c>
      <c r="I276" s="58">
        <v>648020.22</v>
      </c>
      <c r="J276" s="58">
        <v>632667.61</v>
      </c>
      <c r="K276" s="58">
        <v>610178.67000000004</v>
      </c>
      <c r="L276" s="58"/>
      <c r="M276" s="58"/>
      <c r="N276" s="58"/>
      <c r="O276" s="58"/>
      <c r="P276" s="58"/>
      <c r="Q276" s="58"/>
      <c r="R276" s="58"/>
      <c r="S276" s="58"/>
      <c r="T276" s="58">
        <v>2550698.2199999997</v>
      </c>
      <c r="U276"/>
    </row>
    <row r="277" spans="1:21">
      <c r="A277" s="105" t="s">
        <v>616</v>
      </c>
      <c r="B277" s="58"/>
      <c r="C277" s="58"/>
      <c r="D277" s="58"/>
      <c r="E277" s="58"/>
      <c r="F277" s="58"/>
      <c r="G277" s="58">
        <v>0</v>
      </c>
      <c r="H277" s="58">
        <v>340000</v>
      </c>
      <c r="I277" s="58">
        <v>340000</v>
      </c>
      <c r="J277" s="58">
        <v>562966.39</v>
      </c>
      <c r="K277" s="58">
        <v>591114.71</v>
      </c>
      <c r="L277" s="58"/>
      <c r="M277" s="58"/>
      <c r="N277" s="58"/>
      <c r="O277" s="58"/>
      <c r="P277" s="58"/>
      <c r="Q277" s="58"/>
      <c r="R277" s="58"/>
      <c r="S277" s="58"/>
      <c r="T277" s="58">
        <v>1834081.1</v>
      </c>
      <c r="U277"/>
    </row>
    <row r="278" spans="1:21">
      <c r="A278" s="105" t="s">
        <v>612</v>
      </c>
      <c r="B278" s="58"/>
      <c r="C278" s="58"/>
      <c r="D278" s="58"/>
      <c r="E278" s="58"/>
      <c r="F278" s="58">
        <v>0</v>
      </c>
      <c r="G278" s="58">
        <v>0</v>
      </c>
      <c r="H278" s="58">
        <v>0</v>
      </c>
      <c r="I278" s="58">
        <v>0</v>
      </c>
      <c r="J278" s="58">
        <v>0</v>
      </c>
      <c r="K278" s="58">
        <v>0</v>
      </c>
      <c r="L278" s="58">
        <v>14063000</v>
      </c>
      <c r="M278" s="58">
        <v>0</v>
      </c>
      <c r="N278" s="58">
        <v>0</v>
      </c>
      <c r="O278" s="58">
        <v>0</v>
      </c>
      <c r="P278" s="58">
        <v>0</v>
      </c>
      <c r="Q278" s="58">
        <v>0</v>
      </c>
      <c r="R278" s="58">
        <v>0</v>
      </c>
      <c r="S278" s="58"/>
      <c r="T278" s="58">
        <v>14063000</v>
      </c>
      <c r="U278"/>
    </row>
    <row r="279" spans="1:21">
      <c r="A279" s="104" t="s">
        <v>209</v>
      </c>
      <c r="B279" s="58"/>
      <c r="C279" s="58"/>
      <c r="D279" s="58"/>
      <c r="E279" s="58"/>
      <c r="F279" s="58"/>
      <c r="G279" s="58"/>
      <c r="H279" s="58"/>
      <c r="I279" s="58"/>
      <c r="J279" s="58"/>
      <c r="K279" s="58"/>
      <c r="L279" s="58"/>
      <c r="M279" s="58"/>
      <c r="N279" s="58"/>
      <c r="O279" s="58"/>
      <c r="P279" s="58"/>
      <c r="Q279" s="58"/>
      <c r="R279" s="58"/>
      <c r="S279" s="58"/>
      <c r="T279" s="58"/>
      <c r="U279"/>
    </row>
    <row r="280" spans="1:21">
      <c r="A280" s="105" t="s">
        <v>622</v>
      </c>
      <c r="B280" s="58"/>
      <c r="C280" s="58"/>
      <c r="D280" s="58"/>
      <c r="E280" s="58"/>
      <c r="F280" s="58"/>
      <c r="G280" s="58">
        <v>7500000</v>
      </c>
      <c r="H280" s="58">
        <v>7500000</v>
      </c>
      <c r="I280" s="58">
        <v>0</v>
      </c>
      <c r="J280" s="58"/>
      <c r="K280" s="58"/>
      <c r="L280" s="58"/>
      <c r="M280" s="58"/>
      <c r="N280" s="58"/>
      <c r="O280" s="58"/>
      <c r="P280" s="58"/>
      <c r="Q280" s="58"/>
      <c r="R280" s="58"/>
      <c r="S280" s="58"/>
      <c r="T280" s="58">
        <v>7500000</v>
      </c>
      <c r="U280"/>
    </row>
    <row r="281" spans="1:21">
      <c r="A281" s="105" t="s">
        <v>614</v>
      </c>
      <c r="B281" s="58"/>
      <c r="C281" s="58"/>
      <c r="D281" s="58"/>
      <c r="E281" s="58"/>
      <c r="F281" s="58"/>
      <c r="G281" s="58"/>
      <c r="H281" s="58">
        <v>244244.72</v>
      </c>
      <c r="I281" s="58">
        <v>78987.5</v>
      </c>
      <c r="J281" s="58"/>
      <c r="K281" s="58"/>
      <c r="L281" s="58"/>
      <c r="M281" s="58"/>
      <c r="N281" s="58"/>
      <c r="O281" s="58"/>
      <c r="P281" s="58"/>
      <c r="Q281" s="58"/>
      <c r="R281" s="58"/>
      <c r="S281" s="58"/>
      <c r="T281" s="58">
        <v>323232.21999999997</v>
      </c>
      <c r="U281"/>
    </row>
    <row r="282" spans="1:21">
      <c r="A282" s="105" t="s">
        <v>616</v>
      </c>
      <c r="B282" s="58"/>
      <c r="C282" s="58"/>
      <c r="D282" s="58"/>
      <c r="E282" s="58"/>
      <c r="F282" s="58"/>
      <c r="G282" s="58"/>
      <c r="H282" s="58">
        <v>0</v>
      </c>
      <c r="I282" s="58">
        <v>125000</v>
      </c>
      <c r="J282" s="58"/>
      <c r="K282" s="58"/>
      <c r="L282" s="58"/>
      <c r="M282" s="58"/>
      <c r="N282" s="58"/>
      <c r="O282" s="58"/>
      <c r="P282" s="58"/>
      <c r="Q282" s="58"/>
      <c r="R282" s="58"/>
      <c r="S282" s="58"/>
      <c r="T282" s="58">
        <v>125000</v>
      </c>
      <c r="U282"/>
    </row>
    <row r="283" spans="1:21">
      <c r="A283" s="105" t="s">
        <v>612</v>
      </c>
      <c r="B283" s="58"/>
      <c r="C283" s="58"/>
      <c r="D283" s="58"/>
      <c r="E283" s="58"/>
      <c r="F283" s="58">
        <v>0</v>
      </c>
      <c r="G283" s="58">
        <v>0</v>
      </c>
      <c r="H283" s="58">
        <v>0</v>
      </c>
      <c r="I283" s="58">
        <v>7375000</v>
      </c>
      <c r="J283" s="58">
        <v>0</v>
      </c>
      <c r="K283" s="58"/>
      <c r="L283" s="58"/>
      <c r="M283" s="58"/>
      <c r="N283" s="58"/>
      <c r="O283" s="58"/>
      <c r="P283" s="58"/>
      <c r="Q283" s="58"/>
      <c r="R283" s="58"/>
      <c r="S283" s="58"/>
      <c r="T283" s="58">
        <v>7375000</v>
      </c>
      <c r="U283"/>
    </row>
    <row r="284" spans="1:21">
      <c r="A284" s="104" t="s">
        <v>501</v>
      </c>
      <c r="B284" s="58"/>
      <c r="C284" s="58"/>
      <c r="D284" s="58"/>
      <c r="E284" s="58"/>
      <c r="F284" s="58"/>
      <c r="G284" s="58"/>
      <c r="H284" s="58"/>
      <c r="I284" s="58"/>
      <c r="J284" s="58"/>
      <c r="K284" s="58"/>
      <c r="L284" s="58"/>
      <c r="M284" s="58"/>
      <c r="N284" s="58"/>
      <c r="O284" s="58"/>
      <c r="P284" s="58"/>
      <c r="Q284" s="58"/>
      <c r="R284" s="58"/>
      <c r="S284" s="58"/>
      <c r="T284" s="58"/>
      <c r="U284"/>
    </row>
    <row r="285" spans="1:21">
      <c r="A285" s="105" t="s">
        <v>622</v>
      </c>
      <c r="B285" s="58"/>
      <c r="C285" s="58"/>
      <c r="D285" s="58"/>
      <c r="E285" s="58"/>
      <c r="F285" s="58"/>
      <c r="G285" s="58">
        <v>8000000</v>
      </c>
      <c r="H285" s="58">
        <v>0</v>
      </c>
      <c r="I285" s="58"/>
      <c r="J285" s="58"/>
      <c r="K285" s="58"/>
      <c r="L285" s="58"/>
      <c r="M285" s="58"/>
      <c r="N285" s="58"/>
      <c r="O285" s="58"/>
      <c r="P285" s="58"/>
      <c r="Q285" s="58"/>
      <c r="R285" s="58"/>
      <c r="S285" s="58"/>
      <c r="T285" s="58">
        <v>8000000</v>
      </c>
      <c r="U285"/>
    </row>
    <row r="286" spans="1:21">
      <c r="A286" s="105" t="s">
        <v>614</v>
      </c>
      <c r="B286" s="58"/>
      <c r="C286" s="58"/>
      <c r="D286" s="58"/>
      <c r="E286" s="58"/>
      <c r="F286" s="58"/>
      <c r="G286" s="58">
        <v>0</v>
      </c>
      <c r="H286" s="58">
        <v>115147.8</v>
      </c>
      <c r="I286" s="58"/>
      <c r="J286" s="58"/>
      <c r="K286" s="58"/>
      <c r="L286" s="58"/>
      <c r="M286" s="58"/>
      <c r="N286" s="58"/>
      <c r="O286" s="58"/>
      <c r="P286" s="58"/>
      <c r="Q286" s="58"/>
      <c r="R286" s="58"/>
      <c r="S286" s="58"/>
      <c r="T286" s="58">
        <v>115147.8</v>
      </c>
      <c r="U286"/>
    </row>
    <row r="287" spans="1:21">
      <c r="A287" s="105" t="s">
        <v>616</v>
      </c>
      <c r="B287" s="58"/>
      <c r="C287" s="58"/>
      <c r="D287" s="58"/>
      <c r="E287" s="58"/>
      <c r="F287" s="58"/>
      <c r="G287" s="58">
        <v>0</v>
      </c>
      <c r="H287" s="58">
        <v>0</v>
      </c>
      <c r="I287" s="58"/>
      <c r="J287" s="58"/>
      <c r="K287" s="58"/>
      <c r="L287" s="58"/>
      <c r="M287" s="58"/>
      <c r="N287" s="58"/>
      <c r="O287" s="58"/>
      <c r="P287" s="58"/>
      <c r="Q287" s="58"/>
      <c r="R287" s="58"/>
      <c r="S287" s="58"/>
      <c r="T287" s="58">
        <v>0</v>
      </c>
      <c r="U287"/>
    </row>
    <row r="288" spans="1:21">
      <c r="A288" s="105" t="s">
        <v>612</v>
      </c>
      <c r="B288" s="58"/>
      <c r="C288" s="58"/>
      <c r="D288" s="58"/>
      <c r="E288" s="58"/>
      <c r="F288" s="58"/>
      <c r="G288" s="58">
        <v>0</v>
      </c>
      <c r="H288" s="58">
        <v>10000000</v>
      </c>
      <c r="I288" s="58"/>
      <c r="J288" s="58"/>
      <c r="K288" s="58"/>
      <c r="L288" s="58"/>
      <c r="M288" s="58"/>
      <c r="N288" s="58"/>
      <c r="O288" s="58"/>
      <c r="P288" s="58"/>
      <c r="Q288" s="58"/>
      <c r="R288" s="58"/>
      <c r="S288" s="58"/>
      <c r="T288" s="58">
        <v>10000000</v>
      </c>
      <c r="U288"/>
    </row>
    <row r="289" spans="1:21">
      <c r="A289" s="104" t="s">
        <v>502</v>
      </c>
      <c r="B289" s="58"/>
      <c r="C289" s="58"/>
      <c r="D289" s="58"/>
      <c r="E289" s="58"/>
      <c r="F289" s="58"/>
      <c r="G289" s="58"/>
      <c r="H289" s="58"/>
      <c r="I289" s="58"/>
      <c r="J289" s="58"/>
      <c r="K289" s="58"/>
      <c r="L289" s="58"/>
      <c r="M289" s="58"/>
      <c r="N289" s="58"/>
      <c r="O289" s="58"/>
      <c r="P289" s="58"/>
      <c r="Q289" s="58"/>
      <c r="R289" s="58"/>
      <c r="S289" s="58"/>
      <c r="T289" s="58"/>
      <c r="U289"/>
    </row>
    <row r="290" spans="1:21">
      <c r="A290" s="105" t="s">
        <v>622</v>
      </c>
      <c r="B290" s="58"/>
      <c r="C290" s="58"/>
      <c r="D290" s="58"/>
      <c r="E290" s="58"/>
      <c r="F290" s="58"/>
      <c r="G290" s="58">
        <v>0</v>
      </c>
      <c r="H290" s="58">
        <v>5000000</v>
      </c>
      <c r="I290" s="58">
        <v>4832091</v>
      </c>
      <c r="J290" s="58">
        <v>4657466</v>
      </c>
      <c r="K290" s="58">
        <v>0</v>
      </c>
      <c r="L290" s="58"/>
      <c r="M290" s="58"/>
      <c r="N290" s="58"/>
      <c r="O290" s="58"/>
      <c r="P290" s="58"/>
      <c r="Q290" s="58"/>
      <c r="R290" s="58"/>
      <c r="S290" s="58"/>
      <c r="T290" s="58">
        <v>5000000</v>
      </c>
      <c r="U290"/>
    </row>
    <row r="291" spans="1:21">
      <c r="A291" s="105" t="s">
        <v>614</v>
      </c>
      <c r="B291" s="58"/>
      <c r="C291" s="58"/>
      <c r="D291" s="58"/>
      <c r="E291" s="58"/>
      <c r="F291" s="58"/>
      <c r="G291" s="58">
        <v>0</v>
      </c>
      <c r="H291" s="58">
        <v>0</v>
      </c>
      <c r="I291" s="58">
        <v>181500</v>
      </c>
      <c r="J291" s="58">
        <v>162116.66</v>
      </c>
      <c r="K291" s="58">
        <v>155831.04999999999</v>
      </c>
      <c r="L291" s="58"/>
      <c r="M291" s="58"/>
      <c r="N291" s="58"/>
      <c r="O291" s="58"/>
      <c r="P291" s="58"/>
      <c r="Q291" s="58"/>
      <c r="R291" s="58"/>
      <c r="S291" s="58"/>
      <c r="T291" s="58">
        <v>499447.71</v>
      </c>
      <c r="U291"/>
    </row>
    <row r="292" spans="1:21">
      <c r="A292" s="105" t="s">
        <v>616</v>
      </c>
      <c r="B292" s="58"/>
      <c r="C292" s="58"/>
      <c r="D292" s="58"/>
      <c r="E292" s="58"/>
      <c r="F292" s="58"/>
      <c r="G292" s="58">
        <v>0</v>
      </c>
      <c r="H292" s="58">
        <v>0</v>
      </c>
      <c r="I292" s="58">
        <v>167908.75</v>
      </c>
      <c r="J292" s="58">
        <v>174625.1</v>
      </c>
      <c r="K292" s="58">
        <v>181610.1</v>
      </c>
      <c r="L292" s="58"/>
      <c r="M292" s="58"/>
      <c r="N292" s="58"/>
      <c r="O292" s="58"/>
      <c r="P292" s="58"/>
      <c r="Q292" s="58"/>
      <c r="R292" s="58"/>
      <c r="S292" s="58"/>
      <c r="T292" s="58">
        <v>524143.94999999995</v>
      </c>
      <c r="U292"/>
    </row>
    <row r="293" spans="1:21">
      <c r="A293" s="105" t="s">
        <v>612</v>
      </c>
      <c r="B293" s="58"/>
      <c r="C293" s="58"/>
      <c r="D293" s="58"/>
      <c r="E293" s="58"/>
      <c r="F293" s="58"/>
      <c r="G293" s="58">
        <v>0</v>
      </c>
      <c r="H293" s="58">
        <v>0</v>
      </c>
      <c r="I293" s="58">
        <v>0</v>
      </c>
      <c r="J293" s="58">
        <v>0</v>
      </c>
      <c r="K293" s="58">
        <v>4476000</v>
      </c>
      <c r="L293" s="58">
        <v>0</v>
      </c>
      <c r="M293" s="58"/>
      <c r="N293" s="58"/>
      <c r="O293" s="58"/>
      <c r="P293" s="58"/>
      <c r="Q293" s="58"/>
      <c r="R293" s="58"/>
      <c r="S293" s="58"/>
      <c r="T293" s="58">
        <v>4476000</v>
      </c>
      <c r="U293"/>
    </row>
    <row r="294" spans="1:21">
      <c r="A294" s="104" t="s">
        <v>503</v>
      </c>
      <c r="B294" s="58"/>
      <c r="C294" s="58"/>
      <c r="D294" s="58"/>
      <c r="E294" s="58"/>
      <c r="F294" s="58"/>
      <c r="G294" s="58"/>
      <c r="H294" s="58"/>
      <c r="I294" s="58"/>
      <c r="J294" s="58"/>
      <c r="K294" s="58"/>
      <c r="L294" s="58"/>
      <c r="M294" s="58"/>
      <c r="N294" s="58"/>
      <c r="O294" s="58"/>
      <c r="P294" s="58"/>
      <c r="Q294" s="58"/>
      <c r="R294" s="58"/>
      <c r="S294" s="58"/>
      <c r="T294" s="58"/>
      <c r="U294"/>
    </row>
    <row r="295" spans="1:21">
      <c r="A295" s="105" t="s">
        <v>622</v>
      </c>
      <c r="B295" s="58"/>
      <c r="C295" s="58"/>
      <c r="D295" s="58"/>
      <c r="E295" s="58"/>
      <c r="F295" s="58"/>
      <c r="G295" s="58">
        <v>0</v>
      </c>
      <c r="H295" s="58">
        <v>2899255</v>
      </c>
      <c r="I295" s="58">
        <v>2794480</v>
      </c>
      <c r="J295" s="58">
        <v>2685514</v>
      </c>
      <c r="K295" s="58">
        <v>0</v>
      </c>
      <c r="L295" s="58"/>
      <c r="M295" s="58"/>
      <c r="N295" s="58"/>
      <c r="O295" s="58"/>
      <c r="P295" s="58"/>
      <c r="Q295" s="58"/>
      <c r="R295" s="58"/>
      <c r="S295" s="58"/>
      <c r="T295" s="58">
        <v>2899255</v>
      </c>
      <c r="U295"/>
    </row>
    <row r="296" spans="1:21">
      <c r="A296" s="105" t="s">
        <v>614</v>
      </c>
      <c r="B296" s="58"/>
      <c r="C296" s="58"/>
      <c r="D296" s="58"/>
      <c r="E296" s="58"/>
      <c r="F296" s="58"/>
      <c r="G296" s="58">
        <v>0</v>
      </c>
      <c r="H296" s="58">
        <v>108587.5</v>
      </c>
      <c r="I296" s="58">
        <v>105228.45</v>
      </c>
      <c r="J296" s="58">
        <v>101216.42499999999</v>
      </c>
      <c r="K296" s="58">
        <v>97204.4</v>
      </c>
      <c r="L296" s="58"/>
      <c r="M296" s="58"/>
      <c r="N296" s="58"/>
      <c r="O296" s="58"/>
      <c r="P296" s="58"/>
      <c r="Q296" s="58"/>
      <c r="R296" s="58"/>
      <c r="S296" s="58"/>
      <c r="T296" s="58">
        <v>412236.77500000002</v>
      </c>
      <c r="U296"/>
    </row>
    <row r="297" spans="1:21">
      <c r="A297" s="105" t="s">
        <v>616</v>
      </c>
      <c r="B297" s="58"/>
      <c r="C297" s="58"/>
      <c r="D297" s="58"/>
      <c r="E297" s="58"/>
      <c r="F297" s="58"/>
      <c r="G297" s="58">
        <v>0</v>
      </c>
      <c r="H297" s="58">
        <v>100745.25</v>
      </c>
      <c r="I297" s="58">
        <v>104775.06</v>
      </c>
      <c r="J297" s="58">
        <v>109049.88</v>
      </c>
      <c r="K297" s="58">
        <v>113324.7</v>
      </c>
      <c r="L297" s="58"/>
      <c r="M297" s="58"/>
      <c r="N297" s="58"/>
      <c r="O297" s="58"/>
      <c r="P297" s="58"/>
      <c r="Q297" s="58"/>
      <c r="R297" s="58"/>
      <c r="S297" s="58"/>
      <c r="T297" s="58">
        <v>427894.89</v>
      </c>
      <c r="U297"/>
    </row>
    <row r="298" spans="1:21">
      <c r="A298" s="105" t="s">
        <v>612</v>
      </c>
      <c r="B298" s="58"/>
      <c r="C298" s="58"/>
      <c r="D298" s="58"/>
      <c r="E298" s="58"/>
      <c r="F298" s="58"/>
      <c r="G298" s="58">
        <v>0</v>
      </c>
      <c r="H298" s="58">
        <v>0</v>
      </c>
      <c r="I298" s="58">
        <v>0</v>
      </c>
      <c r="J298" s="58">
        <v>0</v>
      </c>
      <c r="K298" s="58">
        <v>2572000</v>
      </c>
      <c r="L298" s="58">
        <v>0</v>
      </c>
      <c r="M298" s="58"/>
      <c r="N298" s="58"/>
      <c r="O298" s="58"/>
      <c r="P298" s="58"/>
      <c r="Q298" s="58"/>
      <c r="R298" s="58"/>
      <c r="S298" s="58"/>
      <c r="T298" s="58">
        <v>2572000</v>
      </c>
      <c r="U298"/>
    </row>
    <row r="299" spans="1:21">
      <c r="A299" s="104" t="s">
        <v>504</v>
      </c>
      <c r="B299" s="58"/>
      <c r="C299" s="58"/>
      <c r="D299" s="58"/>
      <c r="E299" s="58"/>
      <c r="F299" s="58"/>
      <c r="G299" s="58"/>
      <c r="H299" s="58"/>
      <c r="I299" s="58"/>
      <c r="J299" s="58"/>
      <c r="K299" s="58"/>
      <c r="L299" s="58"/>
      <c r="M299" s="58"/>
      <c r="N299" s="58"/>
      <c r="O299" s="58"/>
      <c r="P299" s="58"/>
      <c r="Q299" s="58"/>
      <c r="R299" s="58"/>
      <c r="S299" s="58"/>
      <c r="T299" s="58"/>
      <c r="U299"/>
    </row>
    <row r="300" spans="1:21">
      <c r="A300" s="105" t="s">
        <v>622</v>
      </c>
      <c r="B300" s="58"/>
      <c r="C300" s="58"/>
      <c r="D300" s="58"/>
      <c r="E300" s="58"/>
      <c r="F300" s="58"/>
      <c r="G300" s="58"/>
      <c r="H300" s="58">
        <v>2000000</v>
      </c>
      <c r="I300" s="58">
        <v>1932837</v>
      </c>
      <c r="J300" s="58">
        <v>1862986</v>
      </c>
      <c r="K300" s="58">
        <v>0</v>
      </c>
      <c r="L300" s="58"/>
      <c r="M300" s="58"/>
      <c r="N300" s="58"/>
      <c r="O300" s="58"/>
      <c r="P300" s="58"/>
      <c r="Q300" s="58"/>
      <c r="R300" s="58"/>
      <c r="S300" s="58"/>
      <c r="T300" s="58">
        <v>2000000</v>
      </c>
      <c r="U300"/>
    </row>
    <row r="301" spans="1:21">
      <c r="A301" s="105" t="s">
        <v>614</v>
      </c>
      <c r="B301" s="58"/>
      <c r="C301" s="58"/>
      <c r="D301" s="58"/>
      <c r="E301" s="58"/>
      <c r="F301" s="58"/>
      <c r="G301" s="58"/>
      <c r="H301" s="58">
        <v>0</v>
      </c>
      <c r="I301" s="58">
        <v>55510</v>
      </c>
      <c r="J301" s="58">
        <v>62226.720000000001</v>
      </c>
      <c r="K301" s="58">
        <v>68943.44</v>
      </c>
      <c r="L301" s="58"/>
      <c r="M301" s="58"/>
      <c r="N301" s="58"/>
      <c r="O301" s="58"/>
      <c r="P301" s="58"/>
      <c r="Q301" s="58"/>
      <c r="R301" s="58"/>
      <c r="S301" s="58"/>
      <c r="T301" s="58">
        <v>186680.16</v>
      </c>
      <c r="U301"/>
    </row>
    <row r="302" spans="1:21">
      <c r="A302" s="105" t="s">
        <v>616</v>
      </c>
      <c r="B302" s="58"/>
      <c r="C302" s="58"/>
      <c r="D302" s="58"/>
      <c r="E302" s="58"/>
      <c r="F302" s="58"/>
      <c r="G302" s="58"/>
      <c r="H302" s="58">
        <v>0</v>
      </c>
      <c r="I302" s="58">
        <v>67163.5</v>
      </c>
      <c r="J302" s="58">
        <v>69903.76999999999</v>
      </c>
      <c r="K302" s="58">
        <v>72644.039999999994</v>
      </c>
      <c r="L302" s="58"/>
      <c r="M302" s="58"/>
      <c r="N302" s="58"/>
      <c r="O302" s="58"/>
      <c r="P302" s="58"/>
      <c r="Q302" s="58"/>
      <c r="R302" s="58"/>
      <c r="S302" s="58"/>
      <c r="T302" s="58">
        <v>209711.31</v>
      </c>
      <c r="U302"/>
    </row>
    <row r="303" spans="1:21">
      <c r="A303" s="105" t="s">
        <v>612</v>
      </c>
      <c r="B303" s="58"/>
      <c r="C303" s="58"/>
      <c r="D303" s="58"/>
      <c r="E303" s="58"/>
      <c r="F303" s="58"/>
      <c r="G303" s="58">
        <v>0</v>
      </c>
      <c r="H303" s="58">
        <v>0</v>
      </c>
      <c r="I303" s="58">
        <v>0</v>
      </c>
      <c r="J303" s="58">
        <v>0</v>
      </c>
      <c r="K303" s="58">
        <v>1790000</v>
      </c>
      <c r="L303" s="58">
        <v>0</v>
      </c>
      <c r="M303" s="58"/>
      <c r="N303" s="58"/>
      <c r="O303" s="58"/>
      <c r="P303" s="58"/>
      <c r="Q303" s="58"/>
      <c r="R303" s="58"/>
      <c r="S303" s="58"/>
      <c r="T303" s="58">
        <v>1790000</v>
      </c>
      <c r="U303"/>
    </row>
    <row r="304" spans="1:21">
      <c r="A304" s="104" t="s">
        <v>479</v>
      </c>
      <c r="B304" s="58"/>
      <c r="C304" s="58"/>
      <c r="D304" s="58"/>
      <c r="E304" s="58"/>
      <c r="F304" s="58"/>
      <c r="G304" s="58"/>
      <c r="H304" s="58"/>
      <c r="I304" s="58"/>
      <c r="J304" s="58"/>
      <c r="K304" s="58"/>
      <c r="L304" s="58"/>
      <c r="M304" s="58"/>
      <c r="N304" s="58"/>
      <c r="O304" s="58"/>
      <c r="P304" s="58"/>
      <c r="Q304" s="58"/>
      <c r="R304" s="58"/>
      <c r="S304" s="58"/>
      <c r="T304" s="58"/>
      <c r="U304"/>
    </row>
    <row r="305" spans="1:24">
      <c r="A305" s="105" t="s">
        <v>622</v>
      </c>
      <c r="B305" s="58"/>
      <c r="C305" s="58"/>
      <c r="D305" s="58"/>
      <c r="E305" s="58"/>
      <c r="F305" s="58"/>
      <c r="G305" s="58">
        <v>5000000</v>
      </c>
      <c r="H305" s="58">
        <v>4820929</v>
      </c>
      <c r="I305" s="58">
        <v>4638022</v>
      </c>
      <c r="J305" s="58">
        <v>0</v>
      </c>
      <c r="K305" s="58">
        <v>0</v>
      </c>
      <c r="L305" s="58"/>
      <c r="M305" s="58"/>
      <c r="N305" s="58"/>
      <c r="O305" s="58"/>
      <c r="P305" s="58"/>
      <c r="Q305" s="58"/>
      <c r="R305" s="58"/>
      <c r="S305" s="58"/>
      <c r="T305" s="58">
        <v>5000000</v>
      </c>
      <c r="U305"/>
    </row>
    <row r="306" spans="1:24">
      <c r="A306" s="105" t="s">
        <v>614</v>
      </c>
      <c r="B306" s="58"/>
      <c r="C306" s="58"/>
      <c r="D306" s="58"/>
      <c r="E306" s="58"/>
      <c r="F306" s="58"/>
      <c r="G306" s="58">
        <v>0</v>
      </c>
      <c r="H306" s="58">
        <v>167500</v>
      </c>
      <c r="I306" s="58">
        <v>164192.82</v>
      </c>
      <c r="J306" s="58">
        <v>157531.70000000001</v>
      </c>
      <c r="K306" s="58"/>
      <c r="L306" s="58"/>
      <c r="M306" s="58"/>
      <c r="N306" s="58"/>
      <c r="O306" s="58"/>
      <c r="P306" s="58"/>
      <c r="Q306" s="58"/>
      <c r="R306" s="58"/>
      <c r="S306" s="58"/>
      <c r="T306" s="58">
        <v>489224.52</v>
      </c>
      <c r="U306"/>
    </row>
    <row r="307" spans="1:24">
      <c r="A307" s="105" t="s">
        <v>616</v>
      </c>
      <c r="B307" s="58"/>
      <c r="C307" s="58"/>
      <c r="D307" s="58"/>
      <c r="E307" s="58"/>
      <c r="F307" s="58"/>
      <c r="G307" s="58">
        <v>0</v>
      </c>
      <c r="H307" s="58">
        <v>179070.7</v>
      </c>
      <c r="I307" s="58">
        <v>182907.6</v>
      </c>
      <c r="J307" s="58">
        <v>189309.4</v>
      </c>
      <c r="K307" s="58"/>
      <c r="L307" s="58"/>
      <c r="M307" s="58"/>
      <c r="N307" s="58"/>
      <c r="O307" s="58"/>
      <c r="P307" s="58"/>
      <c r="Q307" s="58"/>
      <c r="R307" s="58"/>
      <c r="S307" s="58"/>
      <c r="T307" s="58">
        <v>551287.70000000007</v>
      </c>
      <c r="U307"/>
    </row>
    <row r="308" spans="1:24">
      <c r="A308" s="105" t="s">
        <v>612</v>
      </c>
      <c r="B308" s="58"/>
      <c r="C308" s="58"/>
      <c r="D308" s="58"/>
      <c r="E308" s="58"/>
      <c r="F308" s="58">
        <v>0</v>
      </c>
      <c r="G308" s="58">
        <v>0</v>
      </c>
      <c r="H308" s="58">
        <v>0</v>
      </c>
      <c r="I308" s="58">
        <v>0</v>
      </c>
      <c r="J308" s="58">
        <v>4449000</v>
      </c>
      <c r="K308" s="58">
        <v>0</v>
      </c>
      <c r="L308" s="58"/>
      <c r="M308" s="58"/>
      <c r="N308" s="58"/>
      <c r="O308" s="58"/>
      <c r="P308" s="58"/>
      <c r="Q308" s="58"/>
      <c r="R308" s="58"/>
      <c r="S308" s="58"/>
      <c r="T308" s="58">
        <v>4449000</v>
      </c>
      <c r="U308"/>
    </row>
    <row r="309" spans="1:24">
      <c r="A309" s="104" t="s">
        <v>274</v>
      </c>
      <c r="B309" s="58"/>
      <c r="C309" s="58"/>
      <c r="D309" s="58"/>
      <c r="E309" s="58"/>
      <c r="F309" s="58"/>
      <c r="G309" s="58"/>
      <c r="H309" s="58"/>
      <c r="I309" s="58"/>
      <c r="J309" s="58"/>
      <c r="K309" s="58"/>
      <c r="L309" s="58"/>
      <c r="M309" s="58"/>
      <c r="N309" s="58"/>
      <c r="O309" s="58"/>
      <c r="P309" s="58"/>
      <c r="Q309" s="58"/>
      <c r="R309" s="58"/>
      <c r="S309" s="58"/>
      <c r="T309" s="58"/>
      <c r="U309"/>
    </row>
    <row r="310" spans="1:24">
      <c r="A310" s="105" t="s">
        <v>622</v>
      </c>
      <c r="B310" s="58"/>
      <c r="C310" s="58"/>
      <c r="D310" s="58"/>
      <c r="E310" s="58"/>
      <c r="F310" s="58"/>
      <c r="G310" s="58"/>
      <c r="H310" s="58"/>
      <c r="I310" s="58"/>
      <c r="J310" s="58">
        <v>4448712</v>
      </c>
      <c r="K310" s="58">
        <v>4252777</v>
      </c>
      <c r="L310" s="58">
        <v>4049984</v>
      </c>
      <c r="M310" s="58">
        <v>3840093</v>
      </c>
      <c r="N310" s="58">
        <v>3622857</v>
      </c>
      <c r="O310" s="58">
        <v>3398016</v>
      </c>
      <c r="P310" s="58">
        <v>3165307</v>
      </c>
      <c r="Q310" s="58">
        <v>2924452</v>
      </c>
      <c r="R310" s="58">
        <v>2675168</v>
      </c>
      <c r="S310" s="58">
        <v>2417159</v>
      </c>
      <c r="T310" s="58">
        <v>4448712</v>
      </c>
      <c r="U310"/>
    </row>
    <row r="311" spans="1:24">
      <c r="A311" s="105" t="s">
        <v>614</v>
      </c>
      <c r="B311" s="58"/>
      <c r="C311" s="58"/>
      <c r="D311" s="58"/>
      <c r="E311" s="58"/>
      <c r="F311" s="58"/>
      <c r="G311" s="58"/>
      <c r="H311" s="58"/>
      <c r="I311" s="58"/>
      <c r="J311" s="58">
        <v>0</v>
      </c>
      <c r="K311" s="58">
        <v>211993.5</v>
      </c>
      <c r="L311" s="58">
        <v>202656.64000000001</v>
      </c>
      <c r="M311" s="58">
        <v>182991.12</v>
      </c>
      <c r="N311" s="58">
        <v>182991.12</v>
      </c>
      <c r="O311" s="58">
        <v>172639.18</v>
      </c>
      <c r="P311" s="58">
        <v>161924.92000000001</v>
      </c>
      <c r="Q311" s="58">
        <v>151248.91</v>
      </c>
      <c r="R311" s="58">
        <v>139358.28</v>
      </c>
      <c r="S311" s="58">
        <v>127479.19</v>
      </c>
      <c r="T311" s="58">
        <v>1533282.8599999999</v>
      </c>
      <c r="U311"/>
    </row>
    <row r="312" spans="1:24">
      <c r="A312" s="105" t="s">
        <v>616</v>
      </c>
      <c r="B312" s="58"/>
      <c r="C312" s="58"/>
      <c r="D312" s="58"/>
      <c r="E312" s="58"/>
      <c r="F312" s="58"/>
      <c r="G312" s="58"/>
      <c r="H312" s="58"/>
      <c r="I312" s="58"/>
      <c r="J312" s="58">
        <v>0</v>
      </c>
      <c r="K312" s="58">
        <v>202793</v>
      </c>
      <c r="L312" s="58">
        <v>202792.95</v>
      </c>
      <c r="M312" s="58">
        <v>217236.88</v>
      </c>
      <c r="N312" s="58">
        <v>217236.88</v>
      </c>
      <c r="O312" s="58">
        <v>224840.17</v>
      </c>
      <c r="P312" s="58">
        <v>232709.58</v>
      </c>
      <c r="Q312" s="58">
        <v>240854.41</v>
      </c>
      <c r="R312" s="58">
        <v>249284.32</v>
      </c>
      <c r="S312" s="58">
        <v>258009.27</v>
      </c>
      <c r="T312" s="58">
        <v>2045757.4600000002</v>
      </c>
      <c r="U312"/>
      <c r="V312" s="58">
        <f>K310-L310</f>
        <v>202793</v>
      </c>
      <c r="W312" s="58">
        <f>L310-M310</f>
        <v>209891</v>
      </c>
      <c r="X312" s="58">
        <f>M310-N310</f>
        <v>217236</v>
      </c>
    </row>
    <row r="313" spans="1:24">
      <c r="A313" s="105" t="s">
        <v>612</v>
      </c>
      <c r="B313" s="58"/>
      <c r="C313" s="58"/>
      <c r="D313" s="58"/>
      <c r="E313" s="58"/>
      <c r="F313" s="58"/>
      <c r="G313" s="58"/>
      <c r="H313" s="58"/>
      <c r="I313" s="58"/>
      <c r="J313" s="58">
        <v>0</v>
      </c>
      <c r="K313" s="58">
        <v>0</v>
      </c>
      <c r="L313" s="58">
        <v>0</v>
      </c>
      <c r="M313" s="58">
        <v>0</v>
      </c>
      <c r="N313" s="58">
        <v>0</v>
      </c>
      <c r="O313" s="58">
        <v>0</v>
      </c>
      <c r="P313" s="58">
        <v>0</v>
      </c>
      <c r="Q313" s="58">
        <v>0</v>
      </c>
      <c r="R313" s="58">
        <v>0</v>
      </c>
      <c r="S313" s="58">
        <v>0</v>
      </c>
      <c r="T313" s="58">
        <v>0</v>
      </c>
      <c r="U313"/>
    </row>
    <row r="314" spans="1:24">
      <c r="A314" s="104" t="s">
        <v>222</v>
      </c>
      <c r="B314" s="58"/>
      <c r="C314" s="58"/>
      <c r="D314" s="58"/>
      <c r="E314" s="58"/>
      <c r="F314" s="58"/>
      <c r="G314" s="58"/>
      <c r="H314" s="58"/>
      <c r="I314" s="58"/>
      <c r="J314" s="58"/>
      <c r="K314" s="58"/>
      <c r="L314" s="58"/>
      <c r="M314" s="58"/>
      <c r="N314" s="58"/>
      <c r="O314" s="58"/>
      <c r="P314" s="58"/>
      <c r="Q314" s="58"/>
      <c r="R314" s="58"/>
      <c r="S314" s="58"/>
      <c r="T314" s="58"/>
      <c r="U314"/>
    </row>
    <row r="315" spans="1:24">
      <c r="A315" s="105" t="s">
        <v>622</v>
      </c>
      <c r="B315" s="58"/>
      <c r="C315" s="58"/>
      <c r="D315" s="58"/>
      <c r="E315" s="58"/>
      <c r="F315" s="58"/>
      <c r="G315" s="58">
        <v>0</v>
      </c>
      <c r="H315" s="58">
        <v>18698339.079999998</v>
      </c>
      <c r="I315" s="58">
        <v>0</v>
      </c>
      <c r="J315" s="58"/>
      <c r="K315" s="58"/>
      <c r="L315" s="58"/>
      <c r="M315" s="58"/>
      <c r="N315" s="58"/>
      <c r="O315" s="58"/>
      <c r="P315" s="58"/>
      <c r="Q315" s="58"/>
      <c r="R315" s="58"/>
      <c r="S315" s="58"/>
      <c r="T315" s="58">
        <v>18698339.079999998</v>
      </c>
      <c r="U315"/>
    </row>
    <row r="316" spans="1:24">
      <c r="A316" s="105" t="s">
        <v>614</v>
      </c>
      <c r="B316" s="58"/>
      <c r="C316" s="58"/>
      <c r="D316" s="58"/>
      <c r="E316" s="58"/>
      <c r="F316" s="58"/>
      <c r="G316" s="58"/>
      <c r="H316" s="58">
        <v>288193.86</v>
      </c>
      <c r="I316" s="58">
        <v>361189.6</v>
      </c>
      <c r="J316" s="58"/>
      <c r="K316" s="58"/>
      <c r="L316" s="58"/>
      <c r="M316" s="58"/>
      <c r="N316" s="58"/>
      <c r="O316" s="58"/>
      <c r="P316" s="58"/>
      <c r="Q316" s="58"/>
      <c r="R316" s="58"/>
      <c r="S316" s="58"/>
      <c r="T316" s="58">
        <v>649383.46</v>
      </c>
      <c r="U316"/>
    </row>
    <row r="317" spans="1:24">
      <c r="A317" s="105" t="s">
        <v>616</v>
      </c>
      <c r="B317" s="58"/>
      <c r="C317" s="58"/>
      <c r="D317" s="58"/>
      <c r="E317" s="58"/>
      <c r="F317" s="58"/>
      <c r="G317" s="58"/>
      <c r="H317" s="58">
        <v>1303547.49</v>
      </c>
      <c r="I317" s="58">
        <v>1527471.46</v>
      </c>
      <c r="J317" s="58"/>
      <c r="K317" s="58"/>
      <c r="L317" s="58"/>
      <c r="M317" s="58"/>
      <c r="N317" s="58"/>
      <c r="O317" s="58"/>
      <c r="P317" s="58"/>
      <c r="Q317" s="58"/>
      <c r="R317" s="58"/>
      <c r="S317" s="58"/>
      <c r="T317" s="58">
        <v>2831018.95</v>
      </c>
      <c r="U317"/>
    </row>
    <row r="318" spans="1:24">
      <c r="A318" s="105" t="s">
        <v>612</v>
      </c>
      <c r="B318" s="58"/>
      <c r="C318" s="58"/>
      <c r="D318" s="58"/>
      <c r="E318" s="58"/>
      <c r="F318" s="58"/>
      <c r="G318" s="58">
        <v>0</v>
      </c>
      <c r="H318" s="58">
        <v>0</v>
      </c>
      <c r="I318" s="58">
        <v>17170000</v>
      </c>
      <c r="J318" s="58">
        <v>0</v>
      </c>
      <c r="K318" s="58"/>
      <c r="L318" s="58"/>
      <c r="M318" s="58"/>
      <c r="N318" s="58">
        <v>0</v>
      </c>
      <c r="O318" s="58">
        <v>0</v>
      </c>
      <c r="P318" s="58">
        <v>0</v>
      </c>
      <c r="Q318" s="58">
        <v>0</v>
      </c>
      <c r="R318" s="58">
        <v>0</v>
      </c>
      <c r="S318" s="58"/>
      <c r="T318" s="58">
        <v>17170000</v>
      </c>
      <c r="U318"/>
    </row>
    <row r="319" spans="1:24">
      <c r="A319" s="104" t="s">
        <v>227</v>
      </c>
      <c r="B319" s="58"/>
      <c r="C319" s="58"/>
      <c r="D319" s="58"/>
      <c r="E319" s="58"/>
      <c r="F319" s="58"/>
      <c r="G319" s="58"/>
      <c r="H319" s="58"/>
      <c r="I319" s="58"/>
      <c r="J319" s="58"/>
      <c r="K319" s="58"/>
      <c r="L319" s="58"/>
      <c r="M319" s="58"/>
      <c r="N319" s="58"/>
      <c r="O319" s="58"/>
      <c r="P319" s="58"/>
      <c r="Q319" s="58"/>
      <c r="R319" s="58"/>
      <c r="S319" s="58"/>
      <c r="T319" s="58"/>
      <c r="U319"/>
    </row>
    <row r="320" spans="1:24">
      <c r="A320" s="105" t="s">
        <v>622</v>
      </c>
      <c r="B320" s="58"/>
      <c r="C320" s="58"/>
      <c r="D320" s="58"/>
      <c r="E320" s="58"/>
      <c r="F320" s="58"/>
      <c r="G320" s="58"/>
      <c r="H320" s="58">
        <v>16991098</v>
      </c>
      <c r="I320" s="58">
        <v>16326665</v>
      </c>
      <c r="J320" s="58">
        <v>0</v>
      </c>
      <c r="K320" s="58"/>
      <c r="L320" s="58"/>
      <c r="M320" s="58"/>
      <c r="N320" s="58"/>
      <c r="O320" s="58"/>
      <c r="P320" s="58"/>
      <c r="Q320" s="58"/>
      <c r="R320" s="58"/>
      <c r="S320" s="58"/>
      <c r="T320" s="58">
        <v>16991098</v>
      </c>
      <c r="U320"/>
    </row>
    <row r="321" spans="1:21">
      <c r="A321" s="105" t="s">
        <v>614</v>
      </c>
      <c r="B321" s="58"/>
      <c r="C321" s="58"/>
      <c r="D321" s="58"/>
      <c r="E321" s="58"/>
      <c r="F321" s="58"/>
      <c r="G321" s="58"/>
      <c r="H321" s="58">
        <v>0</v>
      </c>
      <c r="I321" s="58">
        <v>449131.36</v>
      </c>
      <c r="J321" s="58">
        <v>430389.04</v>
      </c>
      <c r="K321" s="58"/>
      <c r="L321" s="58"/>
      <c r="M321" s="58"/>
      <c r="N321" s="58"/>
      <c r="O321" s="58"/>
      <c r="P321" s="58"/>
      <c r="Q321" s="58"/>
      <c r="R321" s="58"/>
      <c r="S321" s="58"/>
      <c r="T321" s="58">
        <v>879520.39999999991</v>
      </c>
      <c r="U321"/>
    </row>
    <row r="322" spans="1:21">
      <c r="A322" s="105" t="s">
        <v>616</v>
      </c>
      <c r="B322" s="58"/>
      <c r="C322" s="58"/>
      <c r="D322" s="58"/>
      <c r="E322" s="58"/>
      <c r="F322" s="58"/>
      <c r="G322" s="58"/>
      <c r="H322" s="58">
        <v>0</v>
      </c>
      <c r="I322" s="58">
        <v>664432.76</v>
      </c>
      <c r="J322" s="58">
        <v>596319.31000000006</v>
      </c>
      <c r="K322" s="58"/>
      <c r="L322" s="58"/>
      <c r="M322" s="58"/>
      <c r="N322" s="58"/>
      <c r="O322" s="58"/>
      <c r="P322" s="58"/>
      <c r="Q322" s="58"/>
      <c r="R322" s="58"/>
      <c r="S322" s="58"/>
      <c r="T322" s="58">
        <v>1260752.07</v>
      </c>
      <c r="U322"/>
    </row>
    <row r="323" spans="1:21">
      <c r="A323" s="105" t="s">
        <v>612</v>
      </c>
      <c r="B323" s="58"/>
      <c r="C323" s="58"/>
      <c r="D323" s="58"/>
      <c r="E323" s="58"/>
      <c r="F323" s="58"/>
      <c r="G323" s="58">
        <v>0</v>
      </c>
      <c r="H323" s="58">
        <v>0</v>
      </c>
      <c r="I323" s="58">
        <v>0</v>
      </c>
      <c r="J323" s="58">
        <v>15730000</v>
      </c>
      <c r="K323" s="58">
        <v>0</v>
      </c>
      <c r="L323" s="58"/>
      <c r="M323" s="58"/>
      <c r="N323" s="58">
        <v>0</v>
      </c>
      <c r="O323" s="58">
        <v>0</v>
      </c>
      <c r="P323" s="58">
        <v>0</v>
      </c>
      <c r="Q323" s="58">
        <v>0</v>
      </c>
      <c r="R323" s="58">
        <v>0</v>
      </c>
      <c r="S323" s="58"/>
      <c r="T323" s="58">
        <v>15730000</v>
      </c>
      <c r="U323"/>
    </row>
    <row r="324" spans="1:21">
      <c r="A324" s="104" t="s">
        <v>231</v>
      </c>
      <c r="B324" s="58"/>
      <c r="C324" s="58"/>
      <c r="D324" s="58"/>
      <c r="E324" s="58"/>
      <c r="F324" s="58"/>
      <c r="G324" s="58"/>
      <c r="H324" s="58"/>
      <c r="I324" s="58"/>
      <c r="J324" s="58"/>
      <c r="K324" s="58"/>
      <c r="L324" s="58"/>
      <c r="M324" s="58"/>
      <c r="N324" s="58"/>
      <c r="O324" s="58"/>
      <c r="P324" s="58"/>
      <c r="Q324" s="58"/>
      <c r="R324" s="58"/>
      <c r="S324" s="58"/>
      <c r="T324" s="58"/>
      <c r="U324"/>
    </row>
    <row r="325" spans="1:21">
      <c r="A325" s="105" t="s">
        <v>622</v>
      </c>
      <c r="B325" s="58"/>
      <c r="C325" s="58"/>
      <c r="D325" s="58"/>
      <c r="E325" s="58"/>
      <c r="F325" s="58"/>
      <c r="G325" s="58"/>
      <c r="H325" s="58">
        <v>13957410.35</v>
      </c>
      <c r="I325" s="58">
        <v>13852986</v>
      </c>
      <c r="J325" s="58">
        <v>0</v>
      </c>
      <c r="K325" s="58"/>
      <c r="L325" s="58"/>
      <c r="M325" s="58"/>
      <c r="N325" s="58"/>
      <c r="O325" s="58"/>
      <c r="P325" s="58"/>
      <c r="Q325" s="58"/>
      <c r="R325" s="58"/>
      <c r="S325" s="58"/>
      <c r="T325" s="58">
        <v>13957410.35</v>
      </c>
      <c r="U325"/>
    </row>
    <row r="326" spans="1:21">
      <c r="A326" s="105" t="s">
        <v>614</v>
      </c>
      <c r="B326" s="58"/>
      <c r="C326" s="58"/>
      <c r="D326" s="58"/>
      <c r="E326" s="58"/>
      <c r="F326" s="58"/>
      <c r="G326" s="58"/>
      <c r="H326" s="58">
        <v>0</v>
      </c>
      <c r="I326" s="58">
        <v>376757.71</v>
      </c>
      <c r="J326" s="58">
        <v>426705.13</v>
      </c>
      <c r="K326" s="58"/>
      <c r="L326" s="58"/>
      <c r="M326" s="58"/>
      <c r="N326" s="58"/>
      <c r="O326" s="58"/>
      <c r="P326" s="58"/>
      <c r="Q326" s="58"/>
      <c r="R326" s="58"/>
      <c r="S326" s="58"/>
      <c r="T326" s="58">
        <v>803462.84000000008</v>
      </c>
      <c r="U326"/>
    </row>
    <row r="327" spans="1:21">
      <c r="A327" s="105" t="s">
        <v>616</v>
      </c>
      <c r="B327" s="58"/>
      <c r="C327" s="58"/>
      <c r="D327" s="58"/>
      <c r="E327" s="58"/>
      <c r="F327" s="58"/>
      <c r="G327" s="58"/>
      <c r="H327" s="58">
        <v>0</v>
      </c>
      <c r="I327" s="58">
        <v>563763.47</v>
      </c>
      <c r="J327" s="58">
        <v>505970</v>
      </c>
      <c r="K327" s="58"/>
      <c r="L327" s="58"/>
      <c r="M327" s="58"/>
      <c r="N327" s="58"/>
      <c r="O327" s="58"/>
      <c r="P327" s="58"/>
      <c r="Q327" s="58"/>
      <c r="R327" s="58"/>
      <c r="S327" s="58"/>
      <c r="T327" s="58">
        <v>1069733.47</v>
      </c>
      <c r="U327"/>
    </row>
    <row r="328" spans="1:21">
      <c r="A328" s="105" t="s">
        <v>612</v>
      </c>
      <c r="B328" s="58"/>
      <c r="C328" s="58"/>
      <c r="D328" s="58"/>
      <c r="E328" s="58"/>
      <c r="F328" s="58"/>
      <c r="G328" s="58">
        <v>0</v>
      </c>
      <c r="H328" s="58">
        <v>0</v>
      </c>
      <c r="I328" s="58">
        <v>0</v>
      </c>
      <c r="J328" s="58">
        <v>13347000</v>
      </c>
      <c r="K328" s="58">
        <v>0</v>
      </c>
      <c r="L328" s="58"/>
      <c r="M328" s="58"/>
      <c r="N328" s="58">
        <v>0</v>
      </c>
      <c r="O328" s="58">
        <v>0</v>
      </c>
      <c r="P328" s="58">
        <v>0</v>
      </c>
      <c r="Q328" s="58">
        <v>0</v>
      </c>
      <c r="R328" s="58">
        <v>0</v>
      </c>
      <c r="S328" s="58"/>
      <c r="T328" s="58">
        <v>13347000</v>
      </c>
      <c r="U328"/>
    </row>
    <row r="329" spans="1:21">
      <c r="A329" s="104" t="s">
        <v>223</v>
      </c>
      <c r="B329" s="58"/>
      <c r="C329" s="58"/>
      <c r="D329" s="58"/>
      <c r="E329" s="58"/>
      <c r="F329" s="58"/>
      <c r="G329" s="58"/>
      <c r="H329" s="58"/>
      <c r="I329" s="58"/>
      <c r="J329" s="58"/>
      <c r="K329" s="58"/>
      <c r="L329" s="58"/>
      <c r="M329" s="58"/>
      <c r="N329" s="58"/>
      <c r="O329" s="58"/>
      <c r="P329" s="58"/>
      <c r="Q329" s="58"/>
      <c r="R329" s="58"/>
      <c r="S329" s="58"/>
      <c r="T329" s="58"/>
      <c r="U329"/>
    </row>
    <row r="330" spans="1:21">
      <c r="A330" s="105" t="s">
        <v>622</v>
      </c>
      <c r="B330" s="58"/>
      <c r="C330" s="58"/>
      <c r="D330" s="58"/>
      <c r="E330" s="58"/>
      <c r="F330" s="58"/>
      <c r="G330" s="58"/>
      <c r="H330" s="58">
        <v>5000000</v>
      </c>
      <c r="I330" s="58">
        <v>4879476</v>
      </c>
      <c r="J330" s="58">
        <v>4712643</v>
      </c>
      <c r="K330" s="58">
        <v>4538520</v>
      </c>
      <c r="L330" s="58">
        <v>4356789</v>
      </c>
      <c r="M330" s="58">
        <v>4167116</v>
      </c>
      <c r="N330" s="58">
        <v>3969154</v>
      </c>
      <c r="O330" s="58">
        <v>3762542</v>
      </c>
      <c r="P330" s="58">
        <v>3546901</v>
      </c>
      <c r="Q330" s="58">
        <v>3321838</v>
      </c>
      <c r="R330" s="58">
        <v>3086939</v>
      </c>
      <c r="S330" s="58">
        <v>2841775.51</v>
      </c>
      <c r="T330" s="58">
        <v>5000000</v>
      </c>
      <c r="U330"/>
    </row>
    <row r="331" spans="1:21">
      <c r="A331" s="105" t="s">
        <v>614</v>
      </c>
      <c r="B331" s="58"/>
      <c r="C331" s="58"/>
      <c r="D331" s="58"/>
      <c r="E331" s="58"/>
      <c r="F331" s="58"/>
      <c r="G331" s="58"/>
      <c r="H331" s="58">
        <v>133132.65</v>
      </c>
      <c r="I331" s="58">
        <v>183638.39999999999</v>
      </c>
      <c r="J331" s="58">
        <v>184472.81</v>
      </c>
      <c r="K331" s="58">
        <v>220315.94</v>
      </c>
      <c r="L331" s="58">
        <v>226745.3</v>
      </c>
      <c r="M331" s="58">
        <v>145256.76999999999</v>
      </c>
      <c r="N331" s="58">
        <v>144851.69</v>
      </c>
      <c r="O331" s="58">
        <v>137746.48000000001</v>
      </c>
      <c r="P331" s="58">
        <v>131984.14000000001</v>
      </c>
      <c r="Q331" s="58">
        <v>123234.21</v>
      </c>
      <c r="R331" s="58">
        <v>114772.67</v>
      </c>
      <c r="S331" s="58">
        <v>27010.720000000001</v>
      </c>
      <c r="T331" s="58">
        <v>1773161.78</v>
      </c>
      <c r="U331"/>
    </row>
    <row r="332" spans="1:21">
      <c r="A332" s="105" t="s">
        <v>616</v>
      </c>
      <c r="B332" s="58"/>
      <c r="C332" s="58"/>
      <c r="D332" s="58"/>
      <c r="E332" s="58"/>
      <c r="F332" s="58"/>
      <c r="G332" s="58"/>
      <c r="H332" s="58">
        <v>0</v>
      </c>
      <c r="I332" s="58">
        <v>120524.22</v>
      </c>
      <c r="J332" s="58">
        <v>166832.51</v>
      </c>
      <c r="K332" s="58">
        <v>174122.79</v>
      </c>
      <c r="L332" s="58">
        <v>181731.69</v>
      </c>
      <c r="M332" s="58">
        <v>197961.45</v>
      </c>
      <c r="N332" s="58">
        <v>197961.47</v>
      </c>
      <c r="O332" s="58">
        <v>206612.06</v>
      </c>
      <c r="P332" s="58">
        <v>215640.65</v>
      </c>
      <c r="Q332" s="58">
        <v>225063.8</v>
      </c>
      <c r="R332" s="58">
        <v>234898.72</v>
      </c>
      <c r="S332" s="58">
        <v>245163.34</v>
      </c>
      <c r="T332" s="58">
        <v>2166512.6999999997</v>
      </c>
      <c r="U332"/>
    </row>
    <row r="333" spans="1:21">
      <c r="A333" s="105" t="s">
        <v>612</v>
      </c>
      <c r="B333" s="58"/>
      <c r="C333" s="58"/>
      <c r="D333" s="58"/>
      <c r="E333" s="58"/>
      <c r="F333" s="58"/>
      <c r="G333" s="58">
        <v>0</v>
      </c>
      <c r="H333" s="58">
        <v>0</v>
      </c>
      <c r="I333" s="58">
        <v>0</v>
      </c>
      <c r="J333" s="58">
        <v>0</v>
      </c>
      <c r="K333" s="58">
        <v>0</v>
      </c>
      <c r="L333" s="58">
        <v>0</v>
      </c>
      <c r="M333" s="58">
        <v>0</v>
      </c>
      <c r="N333" s="58">
        <v>0</v>
      </c>
      <c r="O333" s="58">
        <v>0</v>
      </c>
      <c r="P333" s="58">
        <v>0</v>
      </c>
      <c r="Q333" s="58">
        <v>0</v>
      </c>
      <c r="R333" s="58">
        <v>0</v>
      </c>
      <c r="S333" s="58">
        <v>0</v>
      </c>
      <c r="T333" s="58">
        <v>0</v>
      </c>
      <c r="U333"/>
    </row>
    <row r="334" spans="1:21">
      <c r="A334" s="104" t="s">
        <v>225</v>
      </c>
      <c r="B334" s="58"/>
      <c r="C334" s="58"/>
      <c r="D334" s="58"/>
      <c r="E334" s="58"/>
      <c r="F334" s="58"/>
      <c r="G334" s="58"/>
      <c r="H334" s="58"/>
      <c r="I334" s="58"/>
      <c r="J334" s="58"/>
      <c r="K334" s="58"/>
      <c r="L334" s="58"/>
      <c r="M334" s="58"/>
      <c r="N334" s="58"/>
      <c r="O334" s="58"/>
      <c r="P334" s="58"/>
      <c r="Q334" s="58"/>
      <c r="R334" s="58"/>
      <c r="S334" s="58"/>
      <c r="T334" s="58"/>
      <c r="U334"/>
    </row>
    <row r="335" spans="1:21">
      <c r="A335" s="105" t="s">
        <v>622</v>
      </c>
      <c r="B335" s="58"/>
      <c r="C335" s="58"/>
      <c r="D335" s="58"/>
      <c r="E335" s="58"/>
      <c r="F335" s="58"/>
      <c r="G335" s="58"/>
      <c r="H335" s="58"/>
      <c r="I335" s="58">
        <v>13306192.67</v>
      </c>
      <c r="J335" s="58">
        <v>0</v>
      </c>
      <c r="K335" s="58"/>
      <c r="L335" s="58"/>
      <c r="M335" s="58"/>
      <c r="N335" s="58"/>
      <c r="O335" s="58"/>
      <c r="P335" s="58"/>
      <c r="Q335" s="58"/>
      <c r="R335" s="58"/>
      <c r="S335" s="58"/>
      <c r="T335" s="58">
        <v>13306192.67</v>
      </c>
      <c r="U335"/>
    </row>
    <row r="336" spans="1:21">
      <c r="A336" s="105" t="s">
        <v>614</v>
      </c>
      <c r="B336" s="58"/>
      <c r="C336" s="58"/>
      <c r="D336" s="58"/>
      <c r="E336" s="58"/>
      <c r="F336" s="58"/>
      <c r="G336" s="58"/>
      <c r="H336" s="58">
        <v>0</v>
      </c>
      <c r="I336" s="58">
        <v>292210.44</v>
      </c>
      <c r="J336" s="58">
        <v>376398.93</v>
      </c>
      <c r="K336" s="58"/>
      <c r="L336" s="58"/>
      <c r="M336" s="58"/>
      <c r="N336" s="58"/>
      <c r="O336" s="58"/>
      <c r="P336" s="58"/>
      <c r="Q336" s="58"/>
      <c r="R336" s="58"/>
      <c r="S336" s="58"/>
      <c r="T336" s="58">
        <v>668609.37</v>
      </c>
      <c r="U336"/>
    </row>
    <row r="337" spans="1:21">
      <c r="A337" s="105" t="s">
        <v>616</v>
      </c>
      <c r="B337" s="58"/>
      <c r="C337" s="58"/>
      <c r="D337" s="58"/>
      <c r="E337" s="58"/>
      <c r="F337" s="58"/>
      <c r="G337" s="58"/>
      <c r="H337" s="58">
        <v>0</v>
      </c>
      <c r="I337" s="58">
        <v>454600.31</v>
      </c>
      <c r="J337" s="58">
        <v>419845.93</v>
      </c>
      <c r="K337" s="58"/>
      <c r="L337" s="58"/>
      <c r="M337" s="58"/>
      <c r="N337" s="58"/>
      <c r="O337" s="58"/>
      <c r="P337" s="58"/>
      <c r="Q337" s="58"/>
      <c r="R337" s="58"/>
      <c r="S337" s="58"/>
      <c r="T337" s="58">
        <v>874446.24</v>
      </c>
      <c r="U337"/>
    </row>
    <row r="338" spans="1:21">
      <c r="A338" s="105" t="s">
        <v>612</v>
      </c>
      <c r="B338" s="58"/>
      <c r="C338" s="58"/>
      <c r="D338" s="58"/>
      <c r="E338" s="58"/>
      <c r="F338" s="58"/>
      <c r="G338" s="58"/>
      <c r="H338" s="58">
        <v>0</v>
      </c>
      <c r="I338" s="58">
        <v>0</v>
      </c>
      <c r="J338" s="58">
        <v>12886000</v>
      </c>
      <c r="K338" s="58">
        <v>0</v>
      </c>
      <c r="L338" s="58"/>
      <c r="M338" s="58"/>
      <c r="N338" s="58"/>
      <c r="O338" s="58"/>
      <c r="P338" s="58"/>
      <c r="Q338" s="58"/>
      <c r="R338" s="58"/>
      <c r="S338" s="58"/>
      <c r="T338" s="58">
        <v>12886000</v>
      </c>
      <c r="U338"/>
    </row>
    <row r="339" spans="1:21">
      <c r="A339" s="104" t="s">
        <v>233</v>
      </c>
      <c r="B339" s="58"/>
      <c r="C339" s="58"/>
      <c r="D339" s="58"/>
      <c r="E339" s="58"/>
      <c r="F339" s="58"/>
      <c r="G339" s="58"/>
      <c r="H339" s="58"/>
      <c r="I339" s="58"/>
      <c r="J339" s="58"/>
      <c r="K339" s="58"/>
      <c r="L339" s="58"/>
      <c r="M339" s="58"/>
      <c r="N339" s="58"/>
      <c r="O339" s="58"/>
      <c r="P339" s="58"/>
      <c r="Q339" s="58"/>
      <c r="R339" s="58"/>
      <c r="S339" s="58"/>
      <c r="T339" s="58"/>
      <c r="U339"/>
    </row>
    <row r="340" spans="1:21">
      <c r="A340" s="105" t="s">
        <v>622</v>
      </c>
      <c r="B340" s="58"/>
      <c r="C340" s="58"/>
      <c r="D340" s="58"/>
      <c r="E340" s="58"/>
      <c r="F340" s="58"/>
      <c r="G340" s="58"/>
      <c r="H340" s="58">
        <v>4000000</v>
      </c>
      <c r="I340" s="58">
        <v>4000000</v>
      </c>
      <c r="J340" s="58"/>
      <c r="K340" s="58"/>
      <c r="L340" s="58"/>
      <c r="M340" s="58"/>
      <c r="N340" s="58"/>
      <c r="O340" s="58"/>
      <c r="P340" s="58"/>
      <c r="Q340" s="58"/>
      <c r="R340" s="58"/>
      <c r="S340" s="58"/>
      <c r="T340" s="58">
        <v>4000000</v>
      </c>
      <c r="U340"/>
    </row>
    <row r="341" spans="1:21">
      <c r="A341" s="105" t="s">
        <v>614</v>
      </c>
      <c r="B341" s="58"/>
      <c r="C341" s="58"/>
      <c r="D341" s="58"/>
      <c r="E341" s="58"/>
      <c r="F341" s="58"/>
      <c r="G341" s="58"/>
      <c r="H341" s="58">
        <v>92249.25</v>
      </c>
      <c r="I341" s="58">
        <v>14174.69</v>
      </c>
      <c r="J341" s="58"/>
      <c r="K341" s="58"/>
      <c r="L341" s="58"/>
      <c r="M341" s="58"/>
      <c r="N341" s="58"/>
      <c r="O341" s="58"/>
      <c r="P341" s="58"/>
      <c r="Q341" s="58"/>
      <c r="R341" s="58"/>
      <c r="S341" s="58"/>
      <c r="T341" s="58">
        <v>106423.94</v>
      </c>
      <c r="U341"/>
    </row>
    <row r="342" spans="1:21">
      <c r="A342" s="105" t="s">
        <v>616</v>
      </c>
      <c r="B342" s="58"/>
      <c r="C342" s="58"/>
      <c r="D342" s="58"/>
      <c r="E342" s="58"/>
      <c r="F342" s="58"/>
      <c r="G342" s="58"/>
      <c r="H342" s="58">
        <v>0</v>
      </c>
      <c r="I342" s="58">
        <v>0</v>
      </c>
      <c r="J342" s="58"/>
      <c r="K342" s="58"/>
      <c r="L342" s="58"/>
      <c r="M342" s="58"/>
      <c r="N342" s="58"/>
      <c r="O342" s="58"/>
      <c r="P342" s="58"/>
      <c r="Q342" s="58"/>
      <c r="R342" s="58"/>
      <c r="S342" s="58"/>
      <c r="T342" s="58">
        <v>0</v>
      </c>
      <c r="U342"/>
    </row>
    <row r="343" spans="1:21">
      <c r="A343" s="105" t="s">
        <v>612</v>
      </c>
      <c r="B343" s="58"/>
      <c r="C343" s="58"/>
      <c r="D343" s="58"/>
      <c r="E343" s="58"/>
      <c r="F343" s="58"/>
      <c r="G343" s="58">
        <v>0</v>
      </c>
      <c r="H343" s="58">
        <v>0</v>
      </c>
      <c r="I343" s="58">
        <v>0</v>
      </c>
      <c r="J343" s="58">
        <v>4000000</v>
      </c>
      <c r="K343" s="58">
        <v>0</v>
      </c>
      <c r="L343" s="58"/>
      <c r="M343" s="58"/>
      <c r="N343" s="58">
        <v>0</v>
      </c>
      <c r="O343" s="58">
        <v>0</v>
      </c>
      <c r="P343" s="58">
        <v>0</v>
      </c>
      <c r="Q343" s="58">
        <v>0</v>
      </c>
      <c r="R343" s="58">
        <v>0</v>
      </c>
      <c r="S343" s="58"/>
      <c r="T343" s="58">
        <v>4000000</v>
      </c>
      <c r="U343"/>
    </row>
    <row r="344" spans="1:21">
      <c r="A344" s="104" t="s">
        <v>235</v>
      </c>
      <c r="B344" s="58"/>
      <c r="C344" s="58"/>
      <c r="D344" s="58"/>
      <c r="E344" s="58"/>
      <c r="F344" s="58"/>
      <c r="G344" s="58"/>
      <c r="H344" s="58"/>
      <c r="I344" s="58"/>
      <c r="J344" s="58"/>
      <c r="K344" s="58"/>
      <c r="L344" s="58"/>
      <c r="M344" s="58"/>
      <c r="N344" s="58"/>
      <c r="O344" s="58"/>
      <c r="P344" s="58"/>
      <c r="Q344" s="58"/>
      <c r="R344" s="58"/>
      <c r="S344" s="58"/>
      <c r="T344" s="58"/>
      <c r="U344"/>
    </row>
    <row r="345" spans="1:21">
      <c r="A345" s="105" t="s">
        <v>622</v>
      </c>
      <c r="B345" s="58"/>
      <c r="C345" s="58"/>
      <c r="D345" s="58"/>
      <c r="E345" s="58"/>
      <c r="F345" s="58"/>
      <c r="G345" s="58"/>
      <c r="H345" s="58">
        <v>15000869</v>
      </c>
      <c r="I345" s="58">
        <v>14306507</v>
      </c>
      <c r="J345" s="58">
        <v>13594768</v>
      </c>
      <c r="K345" s="58">
        <v>12864744</v>
      </c>
      <c r="L345" s="58">
        <v>12116234</v>
      </c>
      <c r="M345" s="58"/>
      <c r="N345" s="58"/>
      <c r="O345" s="58"/>
      <c r="P345" s="58"/>
      <c r="Q345" s="58"/>
      <c r="R345" s="58"/>
      <c r="S345" s="58"/>
      <c r="T345" s="58">
        <v>15000869</v>
      </c>
      <c r="U345"/>
    </row>
    <row r="346" spans="1:21">
      <c r="A346" s="105" t="s">
        <v>614</v>
      </c>
      <c r="B346" s="58"/>
      <c r="C346" s="58"/>
      <c r="D346" s="58"/>
      <c r="E346" s="58"/>
      <c r="F346" s="58"/>
      <c r="G346" s="58"/>
      <c r="H346" s="58">
        <v>0</v>
      </c>
      <c r="I346" s="58">
        <v>197094.75</v>
      </c>
      <c r="J346" s="58">
        <v>319988.86</v>
      </c>
      <c r="K346" s="58">
        <v>303238.65999999997</v>
      </c>
      <c r="L346" s="58">
        <v>286955.26</v>
      </c>
      <c r="M346" s="58"/>
      <c r="N346" s="58"/>
      <c r="O346" s="58"/>
      <c r="P346" s="58"/>
      <c r="Q346" s="58"/>
      <c r="R346" s="58"/>
      <c r="S346" s="58"/>
      <c r="T346" s="58">
        <v>1107277.53</v>
      </c>
      <c r="U346"/>
    </row>
    <row r="347" spans="1:21">
      <c r="A347" s="105" t="s">
        <v>616</v>
      </c>
      <c r="B347" s="58"/>
      <c r="C347" s="58"/>
      <c r="D347" s="58"/>
      <c r="E347" s="58"/>
      <c r="F347" s="58"/>
      <c r="G347" s="58"/>
      <c r="H347" s="58">
        <v>0</v>
      </c>
      <c r="I347" s="58">
        <v>694362.58</v>
      </c>
      <c r="J347" s="58">
        <v>711738.31</v>
      </c>
      <c r="K347" s="58">
        <v>730024.06</v>
      </c>
      <c r="L347" s="58">
        <v>748509.81</v>
      </c>
      <c r="M347" s="58"/>
      <c r="N347" s="58"/>
      <c r="O347" s="58"/>
      <c r="P347" s="58"/>
      <c r="Q347" s="58"/>
      <c r="R347" s="58"/>
      <c r="S347" s="58"/>
      <c r="T347" s="58">
        <v>2884634.7600000002</v>
      </c>
      <c r="U347"/>
    </row>
    <row r="348" spans="1:21">
      <c r="A348" s="105" t="s">
        <v>612</v>
      </c>
      <c r="B348" s="58"/>
      <c r="C348" s="58"/>
      <c r="D348" s="58"/>
      <c r="E348" s="58"/>
      <c r="F348" s="58"/>
      <c r="G348" s="58">
        <v>0</v>
      </c>
      <c r="H348" s="58">
        <v>0</v>
      </c>
      <c r="I348" s="58">
        <v>0</v>
      </c>
      <c r="J348" s="58">
        <v>0</v>
      </c>
      <c r="K348" s="58">
        <v>0</v>
      </c>
      <c r="L348" s="58">
        <v>0</v>
      </c>
      <c r="M348" s="58">
        <v>12135477.720000001</v>
      </c>
      <c r="N348" s="58">
        <v>0</v>
      </c>
      <c r="O348" s="58">
        <v>0</v>
      </c>
      <c r="P348" s="58">
        <v>0</v>
      </c>
      <c r="Q348" s="58">
        <v>0</v>
      </c>
      <c r="R348" s="58">
        <v>0</v>
      </c>
      <c r="S348" s="58"/>
      <c r="T348" s="58">
        <v>12135477.720000001</v>
      </c>
      <c r="U348"/>
    </row>
    <row r="349" spans="1:21">
      <c r="A349" s="104" t="s">
        <v>250</v>
      </c>
      <c r="B349" s="58"/>
      <c r="C349" s="58"/>
      <c r="D349" s="58"/>
      <c r="E349" s="58"/>
      <c r="F349" s="58"/>
      <c r="G349" s="58"/>
      <c r="H349" s="58"/>
      <c r="I349" s="58"/>
      <c r="J349" s="58"/>
      <c r="K349" s="58"/>
      <c r="L349" s="58"/>
      <c r="M349" s="58"/>
      <c r="N349" s="58"/>
      <c r="O349" s="58"/>
      <c r="P349" s="58"/>
      <c r="Q349" s="58"/>
      <c r="R349" s="58"/>
      <c r="S349" s="58"/>
      <c r="T349" s="58"/>
      <c r="U349"/>
    </row>
    <row r="350" spans="1:21">
      <c r="A350" s="105" t="s">
        <v>622</v>
      </c>
      <c r="B350" s="58"/>
      <c r="C350" s="58"/>
      <c r="D350" s="58"/>
      <c r="E350" s="58"/>
      <c r="F350" s="58"/>
      <c r="G350" s="58"/>
      <c r="H350" s="58">
        <v>5000000</v>
      </c>
      <c r="I350" s="58">
        <v>5000000</v>
      </c>
      <c r="J350" s="58">
        <v>4823195</v>
      </c>
      <c r="K350" s="58">
        <v>4640201</v>
      </c>
      <c r="L350" s="58">
        <v>4450803</v>
      </c>
      <c r="M350" s="58">
        <v>4254775</v>
      </c>
      <c r="N350" s="58">
        <v>0</v>
      </c>
      <c r="O350" s="58"/>
      <c r="P350" s="58"/>
      <c r="Q350" s="58"/>
      <c r="R350" s="58"/>
      <c r="S350" s="58"/>
      <c r="T350" s="58">
        <v>5000000</v>
      </c>
      <c r="U350"/>
    </row>
    <row r="351" spans="1:21">
      <c r="A351" s="105" t="s">
        <v>614</v>
      </c>
      <c r="B351" s="58"/>
      <c r="C351" s="58"/>
      <c r="D351" s="58"/>
      <c r="E351" s="58"/>
      <c r="F351" s="58"/>
      <c r="G351" s="58"/>
      <c r="H351" s="58">
        <v>0</v>
      </c>
      <c r="I351" s="58">
        <v>54519.44</v>
      </c>
      <c r="J351" s="58">
        <v>111833.33</v>
      </c>
      <c r="K351" s="58">
        <v>107584.04</v>
      </c>
      <c r="L351" s="58">
        <v>103502.26</v>
      </c>
      <c r="M351" s="58">
        <v>99277.63</v>
      </c>
      <c r="N351" s="58">
        <v>95165.14</v>
      </c>
      <c r="O351" s="58"/>
      <c r="P351" s="58"/>
      <c r="Q351" s="58"/>
      <c r="R351" s="58"/>
      <c r="S351" s="58"/>
      <c r="T351" s="58">
        <v>571881.84</v>
      </c>
      <c r="U351"/>
    </row>
    <row r="352" spans="1:21">
      <c r="A352" s="105" t="s">
        <v>616</v>
      </c>
      <c r="B352" s="58"/>
      <c r="C352" s="58"/>
      <c r="D352" s="58"/>
      <c r="E352" s="58"/>
      <c r="F352" s="58"/>
      <c r="G352" s="58"/>
      <c r="H352" s="58">
        <v>0</v>
      </c>
      <c r="I352" s="58">
        <v>0</v>
      </c>
      <c r="J352" s="58">
        <v>176805.38</v>
      </c>
      <c r="K352" s="58">
        <v>182993.57</v>
      </c>
      <c r="L352" s="58">
        <v>169396.35</v>
      </c>
      <c r="M352" s="58">
        <v>196027.29</v>
      </c>
      <c r="N352" s="58">
        <v>202888.24</v>
      </c>
      <c r="O352" s="58"/>
      <c r="P352" s="58"/>
      <c r="Q352" s="58"/>
      <c r="R352" s="58"/>
      <c r="S352" s="58"/>
      <c r="T352" s="58">
        <v>928110.83000000007</v>
      </c>
      <c r="U352"/>
    </row>
    <row r="353" spans="1:21">
      <c r="A353" s="105" t="s">
        <v>612</v>
      </c>
      <c r="B353" s="58"/>
      <c r="C353" s="58"/>
      <c r="D353" s="58"/>
      <c r="E353" s="58"/>
      <c r="F353" s="58"/>
      <c r="G353" s="58">
        <v>0</v>
      </c>
      <c r="H353" s="58">
        <v>0</v>
      </c>
      <c r="I353" s="58">
        <v>0</v>
      </c>
      <c r="J353" s="58">
        <v>0</v>
      </c>
      <c r="K353" s="58">
        <v>0</v>
      </c>
      <c r="L353" s="58">
        <v>0</v>
      </c>
      <c r="M353" s="58">
        <v>0</v>
      </c>
      <c r="N353" s="58">
        <v>4052000</v>
      </c>
      <c r="O353" s="58">
        <v>0</v>
      </c>
      <c r="P353" s="58">
        <v>0</v>
      </c>
      <c r="Q353" s="58">
        <v>0</v>
      </c>
      <c r="R353" s="58">
        <v>0</v>
      </c>
      <c r="S353" s="58"/>
      <c r="T353" s="58">
        <v>4052000</v>
      </c>
      <c r="U353"/>
    </row>
    <row r="354" spans="1:21">
      <c r="A354" s="104" t="s">
        <v>246</v>
      </c>
      <c r="B354" s="58"/>
      <c r="C354" s="58"/>
      <c r="D354" s="58"/>
      <c r="E354" s="58"/>
      <c r="F354" s="58"/>
      <c r="G354" s="58"/>
      <c r="H354" s="58"/>
      <c r="I354" s="58"/>
      <c r="J354" s="58"/>
      <c r="K354" s="58"/>
      <c r="L354" s="58"/>
      <c r="M354" s="58"/>
      <c r="N354" s="58"/>
      <c r="O354" s="58"/>
      <c r="P354" s="58"/>
      <c r="Q354" s="58"/>
      <c r="R354" s="58"/>
      <c r="S354" s="58"/>
      <c r="T354" s="58"/>
      <c r="U354"/>
    </row>
    <row r="355" spans="1:21">
      <c r="A355" s="105" t="s">
        <v>622</v>
      </c>
      <c r="B355" s="58"/>
      <c r="C355" s="58"/>
      <c r="D355" s="58"/>
      <c r="E355" s="58"/>
      <c r="F355" s="58"/>
      <c r="G355" s="58"/>
      <c r="H355" s="58">
        <v>8721943</v>
      </c>
      <c r="I355" s="58">
        <v>10721943</v>
      </c>
      <c r="J355" s="58">
        <v>10244420</v>
      </c>
      <c r="K355" s="58">
        <v>0</v>
      </c>
      <c r="L355" s="58"/>
      <c r="M355" s="58"/>
      <c r="N355" s="58"/>
      <c r="O355" s="58"/>
      <c r="P355" s="58"/>
      <c r="Q355" s="58"/>
      <c r="R355" s="58"/>
      <c r="S355" s="58"/>
      <c r="T355" s="58">
        <v>10721943</v>
      </c>
      <c r="U355"/>
    </row>
    <row r="356" spans="1:21">
      <c r="A356" s="105" t="s">
        <v>614</v>
      </c>
      <c r="B356" s="58"/>
      <c r="C356" s="58"/>
      <c r="D356" s="58"/>
      <c r="E356" s="58"/>
      <c r="F356" s="58"/>
      <c r="G356" s="58"/>
      <c r="H356" s="58">
        <v>0</v>
      </c>
      <c r="I356" s="58">
        <v>8819.56</v>
      </c>
      <c r="J356" s="58">
        <v>297712.62</v>
      </c>
      <c r="K356" s="58">
        <v>290827.71000000002</v>
      </c>
      <c r="L356" s="58"/>
      <c r="M356" s="58"/>
      <c r="N356" s="58"/>
      <c r="O356" s="58"/>
      <c r="P356" s="58"/>
      <c r="Q356" s="58"/>
      <c r="R356" s="58"/>
      <c r="S356" s="58"/>
      <c r="T356" s="58">
        <v>597359.89</v>
      </c>
      <c r="U356"/>
    </row>
    <row r="357" spans="1:21">
      <c r="A357" s="105" t="s">
        <v>616</v>
      </c>
      <c r="B357" s="58"/>
      <c r="C357" s="58"/>
      <c r="D357" s="58"/>
      <c r="E357" s="58"/>
      <c r="F357" s="58"/>
      <c r="G357" s="58"/>
      <c r="H357" s="58">
        <v>0</v>
      </c>
      <c r="I357" s="58">
        <v>0</v>
      </c>
      <c r="J357" s="58">
        <v>477522.91</v>
      </c>
      <c r="K357" s="58">
        <v>444745.83</v>
      </c>
      <c r="L357" s="58"/>
      <c r="M357" s="58"/>
      <c r="N357" s="58"/>
      <c r="O357" s="58"/>
      <c r="P357" s="58"/>
      <c r="Q357" s="58"/>
      <c r="R357" s="58"/>
      <c r="S357" s="58"/>
      <c r="T357" s="58">
        <v>922268.74</v>
      </c>
      <c r="U357"/>
    </row>
    <row r="358" spans="1:21">
      <c r="A358" s="105" t="s">
        <v>612</v>
      </c>
      <c r="B358" s="58"/>
      <c r="C358" s="58"/>
      <c r="D358" s="58"/>
      <c r="E358" s="58"/>
      <c r="F358" s="58"/>
      <c r="G358" s="58">
        <v>0</v>
      </c>
      <c r="H358" s="58">
        <v>0</v>
      </c>
      <c r="I358" s="58">
        <v>0</v>
      </c>
      <c r="J358" s="58">
        <v>0</v>
      </c>
      <c r="K358" s="58">
        <v>9800000</v>
      </c>
      <c r="L358" s="58">
        <v>0</v>
      </c>
      <c r="M358" s="58"/>
      <c r="N358" s="58">
        <v>0</v>
      </c>
      <c r="O358" s="58">
        <v>0</v>
      </c>
      <c r="P358" s="58">
        <v>0</v>
      </c>
      <c r="Q358" s="58">
        <v>0</v>
      </c>
      <c r="R358" s="58">
        <v>0</v>
      </c>
      <c r="S358" s="58"/>
      <c r="T358" s="58">
        <v>9800000</v>
      </c>
      <c r="U358"/>
    </row>
    <row r="359" spans="1:21">
      <c r="A359" s="104" t="s">
        <v>239</v>
      </c>
      <c r="B359" s="58"/>
      <c r="C359" s="58"/>
      <c r="D359" s="58"/>
      <c r="E359" s="58"/>
      <c r="F359" s="58"/>
      <c r="G359" s="58"/>
      <c r="H359" s="58"/>
      <c r="I359" s="58"/>
      <c r="J359" s="58"/>
      <c r="K359" s="58"/>
      <c r="L359" s="58"/>
      <c r="M359" s="58"/>
      <c r="N359" s="58"/>
      <c r="O359" s="58"/>
      <c r="P359" s="58"/>
      <c r="Q359" s="58"/>
      <c r="R359" s="58"/>
      <c r="S359" s="58"/>
      <c r="T359" s="58"/>
      <c r="U359"/>
    </row>
    <row r="360" spans="1:21">
      <c r="A360" s="105" t="s">
        <v>622</v>
      </c>
      <c r="B360" s="58"/>
      <c r="C360" s="58"/>
      <c r="D360" s="58"/>
      <c r="E360" s="58"/>
      <c r="F360" s="58"/>
      <c r="G360" s="58"/>
      <c r="H360" s="58">
        <v>5287418</v>
      </c>
      <c r="I360" s="58">
        <v>19598660</v>
      </c>
      <c r="J360" s="58">
        <v>13853288</v>
      </c>
      <c r="K360" s="58">
        <v>13371419</v>
      </c>
      <c r="L360" s="58">
        <v>0</v>
      </c>
      <c r="M360" s="58"/>
      <c r="N360" s="58"/>
      <c r="O360" s="58"/>
      <c r="P360" s="58"/>
      <c r="Q360" s="58"/>
      <c r="R360" s="58"/>
      <c r="S360" s="58"/>
      <c r="T360" s="58">
        <v>19598660</v>
      </c>
      <c r="U360"/>
    </row>
    <row r="361" spans="1:21">
      <c r="A361" s="105" t="s">
        <v>614</v>
      </c>
      <c r="B361" s="58"/>
      <c r="C361" s="58"/>
      <c r="D361" s="58"/>
      <c r="E361" s="58"/>
      <c r="F361" s="58"/>
      <c r="G361" s="58"/>
      <c r="H361" s="58">
        <v>3395.5</v>
      </c>
      <c r="I361" s="58">
        <v>7558.45</v>
      </c>
      <c r="J361" s="58">
        <v>311965.21000000002</v>
      </c>
      <c r="K361" s="58">
        <v>301982.44</v>
      </c>
      <c r="L361" s="58">
        <v>447385.4</v>
      </c>
      <c r="M361" s="58"/>
      <c r="N361" s="58"/>
      <c r="O361" s="58"/>
      <c r="P361" s="58"/>
      <c r="Q361" s="58"/>
      <c r="R361" s="58"/>
      <c r="S361" s="58"/>
      <c r="T361" s="58">
        <v>1072287</v>
      </c>
      <c r="U361"/>
    </row>
    <row r="362" spans="1:21">
      <c r="A362" s="105" t="s">
        <v>616</v>
      </c>
      <c r="B362" s="58"/>
      <c r="C362" s="58"/>
      <c r="D362" s="58"/>
      <c r="E362" s="58"/>
      <c r="F362" s="58"/>
      <c r="G362" s="58"/>
      <c r="H362" s="58">
        <v>0</v>
      </c>
      <c r="I362" s="58">
        <v>0</v>
      </c>
      <c r="J362" s="58">
        <v>457954.3</v>
      </c>
      <c r="K362" s="58">
        <v>481868.82</v>
      </c>
      <c r="L362" s="58">
        <v>507080.75</v>
      </c>
      <c r="M362" s="58"/>
      <c r="N362" s="58"/>
      <c r="O362" s="58"/>
      <c r="P362" s="58"/>
      <c r="Q362" s="58"/>
      <c r="R362" s="58"/>
      <c r="S362" s="58"/>
      <c r="T362" s="58">
        <v>1446903.87</v>
      </c>
      <c r="U362"/>
    </row>
    <row r="363" spans="1:21">
      <c r="A363" s="105" t="s">
        <v>612</v>
      </c>
      <c r="B363" s="58"/>
      <c r="C363" s="58"/>
      <c r="D363" s="58"/>
      <c r="E363" s="58"/>
      <c r="F363" s="58"/>
      <c r="G363" s="58">
        <v>0</v>
      </c>
      <c r="H363" s="58">
        <v>0</v>
      </c>
      <c r="I363" s="58">
        <v>0</v>
      </c>
      <c r="J363" s="58">
        <v>0</v>
      </c>
      <c r="K363" s="58">
        <v>0</v>
      </c>
      <c r="L363" s="58">
        <v>12864000</v>
      </c>
      <c r="M363" s="58">
        <v>0</v>
      </c>
      <c r="N363" s="58"/>
      <c r="O363" s="58"/>
      <c r="P363" s="58"/>
      <c r="Q363" s="58"/>
      <c r="R363" s="58"/>
      <c r="S363" s="58"/>
      <c r="T363" s="58">
        <v>12864000</v>
      </c>
      <c r="U363"/>
    </row>
    <row r="364" spans="1:21">
      <c r="A364" s="104" t="s">
        <v>248</v>
      </c>
      <c r="B364" s="58"/>
      <c r="C364" s="58"/>
      <c r="D364" s="58"/>
      <c r="E364" s="58"/>
      <c r="F364" s="58"/>
      <c r="G364" s="58"/>
      <c r="H364" s="58"/>
      <c r="I364" s="58"/>
      <c r="J364" s="58"/>
      <c r="K364" s="58"/>
      <c r="L364" s="58"/>
      <c r="M364" s="58"/>
      <c r="N364" s="58"/>
      <c r="O364" s="58"/>
      <c r="P364" s="58"/>
      <c r="Q364" s="58"/>
      <c r="R364" s="58"/>
      <c r="S364" s="58"/>
      <c r="T364" s="58"/>
      <c r="U364"/>
    </row>
    <row r="365" spans="1:21">
      <c r="A365" s="105" t="s">
        <v>622</v>
      </c>
      <c r="B365" s="58"/>
      <c r="C365" s="58"/>
      <c r="D365" s="58"/>
      <c r="E365" s="58"/>
      <c r="F365" s="58"/>
      <c r="G365" s="58">
        <v>0</v>
      </c>
      <c r="H365" s="58">
        <v>0</v>
      </c>
      <c r="I365" s="58">
        <v>0</v>
      </c>
      <c r="J365" s="58"/>
      <c r="K365" s="58"/>
      <c r="L365" s="58"/>
      <c r="M365" s="58"/>
      <c r="N365" s="58"/>
      <c r="O365" s="58"/>
      <c r="P365" s="58"/>
      <c r="Q365" s="58"/>
      <c r="R365" s="58"/>
      <c r="S365" s="58"/>
      <c r="T365" s="58">
        <v>0</v>
      </c>
      <c r="U365"/>
    </row>
    <row r="366" spans="1:21">
      <c r="A366" s="105" t="s">
        <v>614</v>
      </c>
      <c r="B366" s="58"/>
      <c r="C366" s="58"/>
      <c r="D366" s="58"/>
      <c r="E366" s="58"/>
      <c r="F366" s="58"/>
      <c r="G366" s="58">
        <v>0</v>
      </c>
      <c r="H366" s="58">
        <v>0</v>
      </c>
      <c r="I366" s="58">
        <v>154196.68</v>
      </c>
      <c r="J366" s="58"/>
      <c r="K366" s="58"/>
      <c r="L366" s="58"/>
      <c r="M366" s="58"/>
      <c r="N366" s="58"/>
      <c r="O366" s="58"/>
      <c r="P366" s="58"/>
      <c r="Q366" s="58"/>
      <c r="R366" s="58"/>
      <c r="S366" s="58"/>
      <c r="T366" s="58">
        <v>154196.68</v>
      </c>
      <c r="U366"/>
    </row>
    <row r="367" spans="1:21">
      <c r="A367" s="105" t="s">
        <v>616</v>
      </c>
      <c r="B367" s="58"/>
      <c r="C367" s="58"/>
      <c r="D367" s="58"/>
      <c r="E367" s="58"/>
      <c r="F367" s="58"/>
      <c r="G367" s="58">
        <v>0</v>
      </c>
      <c r="H367" s="58">
        <v>0</v>
      </c>
      <c r="I367" s="58">
        <v>375000</v>
      </c>
      <c r="J367" s="58"/>
      <c r="K367" s="58"/>
      <c r="L367" s="58"/>
      <c r="M367" s="58"/>
      <c r="N367" s="58"/>
      <c r="O367" s="58"/>
      <c r="P367" s="58"/>
      <c r="Q367" s="58"/>
      <c r="R367" s="58"/>
      <c r="S367" s="58"/>
      <c r="T367" s="58">
        <v>375000</v>
      </c>
      <c r="U367"/>
    </row>
    <row r="368" spans="1:21">
      <c r="A368" s="105" t="s">
        <v>612</v>
      </c>
      <c r="B368" s="58"/>
      <c r="C368" s="58"/>
      <c r="D368" s="58"/>
      <c r="E368" s="58"/>
      <c r="F368" s="58"/>
      <c r="G368" s="58">
        <v>0</v>
      </c>
      <c r="H368" s="58">
        <v>0</v>
      </c>
      <c r="I368" s="58">
        <v>9000000</v>
      </c>
      <c r="J368" s="58">
        <v>0</v>
      </c>
      <c r="K368" s="58"/>
      <c r="L368" s="58"/>
      <c r="M368" s="58"/>
      <c r="N368" s="58"/>
      <c r="O368" s="58"/>
      <c r="P368" s="58"/>
      <c r="Q368" s="58"/>
      <c r="R368" s="58"/>
      <c r="S368" s="58"/>
      <c r="T368" s="58">
        <v>9000000</v>
      </c>
      <c r="U368"/>
    </row>
    <row r="369" spans="1:21">
      <c r="A369" s="104" t="s">
        <v>253</v>
      </c>
      <c r="B369" s="58"/>
      <c r="C369" s="58"/>
      <c r="D369" s="58"/>
      <c r="E369" s="58"/>
      <c r="F369" s="58"/>
      <c r="G369" s="58"/>
      <c r="H369" s="58"/>
      <c r="I369" s="58"/>
      <c r="J369" s="58"/>
      <c r="K369" s="58"/>
      <c r="L369" s="58"/>
      <c r="M369" s="58"/>
      <c r="N369" s="58"/>
      <c r="O369" s="58"/>
      <c r="P369" s="58"/>
      <c r="Q369" s="58"/>
      <c r="R369" s="58"/>
      <c r="S369" s="58"/>
      <c r="T369" s="58"/>
      <c r="U369"/>
    </row>
    <row r="370" spans="1:21">
      <c r="A370" s="105" t="s">
        <v>622</v>
      </c>
      <c r="B370" s="58"/>
      <c r="C370" s="58"/>
      <c r="D370" s="58"/>
      <c r="E370" s="58"/>
      <c r="F370" s="58"/>
      <c r="G370" s="58"/>
      <c r="H370" s="58"/>
      <c r="I370" s="58"/>
      <c r="J370" s="58">
        <v>15538681</v>
      </c>
      <c r="K370" s="58">
        <v>0</v>
      </c>
      <c r="L370" s="58"/>
      <c r="M370" s="58"/>
      <c r="N370" s="58"/>
      <c r="O370" s="58"/>
      <c r="P370" s="58"/>
      <c r="Q370" s="58"/>
      <c r="R370" s="58"/>
      <c r="S370" s="58"/>
      <c r="T370" s="58">
        <v>15538681</v>
      </c>
      <c r="U370"/>
    </row>
    <row r="371" spans="1:21">
      <c r="A371" s="105" t="s">
        <v>614</v>
      </c>
      <c r="B371" s="58"/>
      <c r="C371" s="58"/>
      <c r="D371" s="58"/>
      <c r="E371" s="58"/>
      <c r="F371" s="58"/>
      <c r="G371" s="58"/>
      <c r="H371" s="58"/>
      <c r="I371" s="58"/>
      <c r="J371" s="58">
        <v>2479.61</v>
      </c>
      <c r="K371" s="58">
        <v>425371.39</v>
      </c>
      <c r="L371" s="58"/>
      <c r="M371" s="58"/>
      <c r="N371" s="58"/>
      <c r="O371" s="58"/>
      <c r="P371" s="58"/>
      <c r="Q371" s="58"/>
      <c r="R371" s="58"/>
      <c r="S371" s="58"/>
      <c r="T371" s="58">
        <v>427851</v>
      </c>
      <c r="U371"/>
    </row>
    <row r="372" spans="1:21">
      <c r="A372" s="105" t="s">
        <v>616</v>
      </c>
      <c r="B372" s="58"/>
      <c r="C372" s="58"/>
      <c r="D372" s="58"/>
      <c r="E372" s="58"/>
      <c r="F372" s="58"/>
      <c r="G372" s="58"/>
      <c r="H372" s="58"/>
      <c r="I372" s="58"/>
      <c r="J372" s="58">
        <v>0</v>
      </c>
      <c r="K372" s="58">
        <v>510043.41</v>
      </c>
      <c r="L372" s="58"/>
      <c r="M372" s="58"/>
      <c r="N372" s="58"/>
      <c r="O372" s="58"/>
      <c r="P372" s="58"/>
      <c r="Q372" s="58"/>
      <c r="R372" s="58"/>
      <c r="S372" s="58"/>
      <c r="T372" s="58">
        <v>510043.41</v>
      </c>
      <c r="U372"/>
    </row>
    <row r="373" spans="1:21">
      <c r="A373" s="105" t="s">
        <v>612</v>
      </c>
      <c r="B373" s="58"/>
      <c r="C373" s="58"/>
      <c r="D373" s="58"/>
      <c r="E373" s="58"/>
      <c r="F373" s="58"/>
      <c r="G373" s="58"/>
      <c r="H373" s="58">
        <v>0</v>
      </c>
      <c r="I373" s="58">
        <v>0</v>
      </c>
      <c r="J373" s="58">
        <v>0</v>
      </c>
      <c r="K373" s="58">
        <v>15029000</v>
      </c>
      <c r="L373" s="58">
        <v>0</v>
      </c>
      <c r="M373" s="58"/>
      <c r="N373" s="58">
        <v>0</v>
      </c>
      <c r="O373" s="58">
        <v>0</v>
      </c>
      <c r="P373" s="58">
        <v>0</v>
      </c>
      <c r="Q373" s="58">
        <v>0</v>
      </c>
      <c r="R373" s="58">
        <v>0</v>
      </c>
      <c r="S373" s="58"/>
      <c r="T373" s="58">
        <v>15029000</v>
      </c>
      <c r="U373"/>
    </row>
    <row r="374" spans="1:21">
      <c r="A374" s="104" t="s">
        <v>251</v>
      </c>
      <c r="B374" s="58"/>
      <c r="C374" s="58"/>
      <c r="D374" s="58"/>
      <c r="E374" s="58"/>
      <c r="F374" s="58"/>
      <c r="G374" s="58"/>
      <c r="H374" s="58"/>
      <c r="I374" s="58"/>
      <c r="J374" s="58"/>
      <c r="K374" s="58"/>
      <c r="L374" s="58"/>
      <c r="M374" s="58"/>
      <c r="N374" s="58"/>
      <c r="O374" s="58"/>
      <c r="P374" s="58"/>
      <c r="Q374" s="58"/>
      <c r="R374" s="58"/>
      <c r="S374" s="58"/>
      <c r="T374" s="58"/>
      <c r="U374"/>
    </row>
    <row r="375" spans="1:21">
      <c r="A375" s="105" t="s">
        <v>622</v>
      </c>
      <c r="B375" s="58"/>
      <c r="C375" s="58"/>
      <c r="D375" s="58"/>
      <c r="E375" s="58"/>
      <c r="F375" s="58"/>
      <c r="G375" s="58"/>
      <c r="H375" s="58"/>
      <c r="I375" s="58">
        <v>0</v>
      </c>
      <c r="J375" s="58">
        <v>15538681</v>
      </c>
      <c r="K375" s="58">
        <v>15028637</v>
      </c>
      <c r="L375" s="58">
        <v>14548322</v>
      </c>
      <c r="M375" s="58">
        <v>0</v>
      </c>
      <c r="N375" s="58"/>
      <c r="O375" s="58"/>
      <c r="P375" s="58"/>
      <c r="Q375" s="58"/>
      <c r="R375" s="58"/>
      <c r="S375" s="58"/>
      <c r="T375" s="58">
        <v>15538681</v>
      </c>
      <c r="U375"/>
    </row>
    <row r="376" spans="1:21">
      <c r="A376" s="105" t="s">
        <v>614</v>
      </c>
      <c r="B376" s="58"/>
      <c r="C376" s="58"/>
      <c r="D376" s="58"/>
      <c r="E376" s="58"/>
      <c r="F376" s="58"/>
      <c r="G376" s="58"/>
      <c r="H376" s="58"/>
      <c r="I376" s="58">
        <v>0</v>
      </c>
      <c r="J376" s="58">
        <v>2479.61</v>
      </c>
      <c r="K376" s="58">
        <v>425371.39</v>
      </c>
      <c r="L376" s="58">
        <v>411406.95</v>
      </c>
      <c r="M376" s="58">
        <v>738060.65</v>
      </c>
      <c r="N376" s="58"/>
      <c r="O376" s="58"/>
      <c r="P376" s="58"/>
      <c r="Q376" s="58"/>
      <c r="R376" s="58"/>
      <c r="S376" s="58"/>
      <c r="T376" s="58">
        <v>1577318.6</v>
      </c>
      <c r="U376"/>
    </row>
    <row r="377" spans="1:21">
      <c r="A377" s="105" t="s">
        <v>616</v>
      </c>
      <c r="B377" s="58"/>
      <c r="C377" s="58"/>
      <c r="D377" s="58"/>
      <c r="E377" s="58"/>
      <c r="F377" s="58"/>
      <c r="G377" s="58"/>
      <c r="H377" s="58"/>
      <c r="I377" s="58">
        <v>0</v>
      </c>
      <c r="J377" s="58">
        <v>0</v>
      </c>
      <c r="K377" s="58">
        <v>510043.41</v>
      </c>
      <c r="L377" s="58">
        <v>480514.86</v>
      </c>
      <c r="M377" s="58">
        <v>450726.16</v>
      </c>
      <c r="N377" s="58"/>
      <c r="O377" s="58"/>
      <c r="P377" s="58"/>
      <c r="Q377" s="58"/>
      <c r="R377" s="58"/>
      <c r="S377" s="58"/>
      <c r="T377" s="58">
        <v>1441284.43</v>
      </c>
      <c r="U377"/>
    </row>
    <row r="378" spans="1:21">
      <c r="A378" s="105" t="s">
        <v>612</v>
      </c>
      <c r="B378" s="58"/>
      <c r="C378" s="58"/>
      <c r="D378" s="58"/>
      <c r="E378" s="58"/>
      <c r="F378" s="58"/>
      <c r="G378" s="58"/>
      <c r="H378" s="58"/>
      <c r="I378" s="58">
        <v>0</v>
      </c>
      <c r="J378" s="58">
        <v>0</v>
      </c>
      <c r="K378" s="58">
        <v>0</v>
      </c>
      <c r="L378" s="58">
        <v>0</v>
      </c>
      <c r="M378" s="58">
        <v>14098000</v>
      </c>
      <c r="N378" s="58">
        <v>0</v>
      </c>
      <c r="O378" s="58"/>
      <c r="P378" s="58"/>
      <c r="Q378" s="58"/>
      <c r="R378" s="58"/>
      <c r="S378" s="58"/>
      <c r="T378" s="58">
        <v>14098000</v>
      </c>
      <c r="U378"/>
    </row>
    <row r="379" spans="1:21">
      <c r="A379" s="104" t="s">
        <v>255</v>
      </c>
      <c r="B379" s="58"/>
      <c r="C379" s="58"/>
      <c r="D379" s="58"/>
      <c r="E379" s="58"/>
      <c r="F379" s="58"/>
      <c r="G379" s="58"/>
      <c r="H379" s="58"/>
      <c r="I379" s="58"/>
      <c r="J379" s="58"/>
      <c r="K379" s="58"/>
      <c r="L379" s="58"/>
      <c r="M379" s="58"/>
      <c r="N379" s="58"/>
      <c r="O379" s="58"/>
      <c r="P379" s="58"/>
      <c r="Q379" s="58"/>
      <c r="R379" s="58"/>
      <c r="S379" s="58"/>
      <c r="T379" s="58"/>
      <c r="U379"/>
    </row>
    <row r="380" spans="1:21">
      <c r="A380" s="105" t="s">
        <v>622</v>
      </c>
      <c r="B380" s="58"/>
      <c r="C380" s="58"/>
      <c r="D380" s="58"/>
      <c r="E380" s="58"/>
      <c r="F380" s="58"/>
      <c r="G380" s="58"/>
      <c r="H380" s="58"/>
      <c r="I380" s="58">
        <v>11085434</v>
      </c>
      <c r="J380" s="58">
        <v>10242617</v>
      </c>
      <c r="K380" s="58">
        <v>9432320</v>
      </c>
      <c r="L380" s="58">
        <v>0</v>
      </c>
      <c r="M380" s="58"/>
      <c r="N380" s="58"/>
      <c r="O380" s="58"/>
      <c r="P380" s="58"/>
      <c r="Q380" s="58"/>
      <c r="R380" s="58"/>
      <c r="S380" s="58"/>
      <c r="T380" s="58">
        <v>11085434</v>
      </c>
      <c r="U380"/>
    </row>
    <row r="381" spans="1:21">
      <c r="A381" s="105" t="s">
        <v>614</v>
      </c>
      <c r="B381" s="58"/>
      <c r="C381" s="58"/>
      <c r="D381" s="58"/>
      <c r="E381" s="58"/>
      <c r="F381" s="58"/>
      <c r="G381" s="58"/>
      <c r="H381" s="58"/>
      <c r="I381" s="58">
        <v>348.92</v>
      </c>
      <c r="J381" s="58">
        <v>212424.63</v>
      </c>
      <c r="K381" s="58">
        <v>196274.14</v>
      </c>
      <c r="L381" s="58">
        <v>477209.91</v>
      </c>
      <c r="M381" s="58"/>
      <c r="N381" s="58"/>
      <c r="O381" s="58"/>
      <c r="P381" s="58"/>
      <c r="Q381" s="58"/>
      <c r="R381" s="58"/>
      <c r="S381" s="58"/>
      <c r="T381" s="58">
        <v>886257.60000000009</v>
      </c>
      <c r="U381"/>
    </row>
    <row r="382" spans="1:21">
      <c r="A382" s="105" t="s">
        <v>616</v>
      </c>
      <c r="B382" s="58"/>
      <c r="C382" s="58"/>
      <c r="D382" s="58"/>
      <c r="E382" s="58"/>
      <c r="F382" s="58"/>
      <c r="G382" s="58"/>
      <c r="H382" s="58"/>
      <c r="I382" s="58">
        <v>0</v>
      </c>
      <c r="J382" s="58">
        <v>842817.7</v>
      </c>
      <c r="K382" s="58">
        <v>810296.26</v>
      </c>
      <c r="L382" s="58">
        <v>847048.42</v>
      </c>
      <c r="M382" s="58"/>
      <c r="N382" s="58"/>
      <c r="O382" s="58"/>
      <c r="P382" s="58"/>
      <c r="Q382" s="58"/>
      <c r="R382" s="58"/>
      <c r="S382" s="58"/>
      <c r="T382" s="58">
        <v>2500162.38</v>
      </c>
      <c r="U382"/>
    </row>
    <row r="383" spans="1:21">
      <c r="A383" s="105" t="s">
        <v>612</v>
      </c>
      <c r="B383" s="58"/>
      <c r="C383" s="58"/>
      <c r="D383" s="58"/>
      <c r="E383" s="58"/>
      <c r="F383" s="58"/>
      <c r="G383" s="58"/>
      <c r="H383" s="58">
        <v>0</v>
      </c>
      <c r="I383" s="58">
        <v>0</v>
      </c>
      <c r="J383" s="58">
        <v>0</v>
      </c>
      <c r="K383" s="58">
        <v>0</v>
      </c>
      <c r="L383" s="58">
        <v>8565000</v>
      </c>
      <c r="M383" s="58">
        <v>0</v>
      </c>
      <c r="N383" s="58">
        <v>0</v>
      </c>
      <c r="O383" s="58">
        <v>0</v>
      </c>
      <c r="P383" s="58">
        <v>0</v>
      </c>
      <c r="Q383" s="58">
        <v>0</v>
      </c>
      <c r="R383" s="58">
        <v>0</v>
      </c>
      <c r="S383" s="58"/>
      <c r="T383" s="58">
        <v>8565000</v>
      </c>
      <c r="U383"/>
    </row>
    <row r="384" spans="1:21">
      <c r="A384" s="104" t="s">
        <v>256</v>
      </c>
      <c r="B384" s="58"/>
      <c r="C384" s="58"/>
      <c r="D384" s="58"/>
      <c r="E384" s="58"/>
      <c r="F384" s="58"/>
      <c r="G384" s="58"/>
      <c r="H384" s="58"/>
      <c r="I384" s="58"/>
      <c r="J384" s="58"/>
      <c r="K384" s="58"/>
      <c r="L384" s="58"/>
      <c r="M384" s="58"/>
      <c r="N384" s="58"/>
      <c r="O384" s="58"/>
      <c r="P384" s="58"/>
      <c r="Q384" s="58"/>
      <c r="R384" s="58"/>
      <c r="S384" s="58"/>
      <c r="T384" s="58"/>
      <c r="U384"/>
    </row>
    <row r="385" spans="1:21">
      <c r="A385" s="105" t="s">
        <v>622</v>
      </c>
      <c r="B385" s="58"/>
      <c r="C385" s="58"/>
      <c r="D385" s="58"/>
      <c r="E385" s="58"/>
      <c r="F385" s="58"/>
      <c r="G385" s="58"/>
      <c r="H385" s="58"/>
      <c r="I385" s="58">
        <v>11085434</v>
      </c>
      <c r="J385" s="58">
        <v>10468589</v>
      </c>
      <c r="K385" s="58">
        <v>9871624</v>
      </c>
      <c r="L385" s="58">
        <v>9245515</v>
      </c>
      <c r="M385" s="58">
        <v>0</v>
      </c>
      <c r="N385" s="58"/>
      <c r="O385" s="58"/>
      <c r="P385" s="58"/>
      <c r="Q385" s="58"/>
      <c r="R385" s="58"/>
      <c r="S385" s="58"/>
      <c r="T385" s="58">
        <v>11085434</v>
      </c>
      <c r="U385"/>
    </row>
    <row r="386" spans="1:21">
      <c r="A386" s="105" t="s">
        <v>614</v>
      </c>
      <c r="B386" s="58"/>
      <c r="C386" s="58"/>
      <c r="D386" s="58"/>
      <c r="E386" s="58"/>
      <c r="F386" s="58"/>
      <c r="G386" s="58"/>
      <c r="H386" s="58"/>
      <c r="I386" s="58">
        <v>232.62</v>
      </c>
      <c r="J386" s="58">
        <v>211300.69</v>
      </c>
      <c r="K386" s="58">
        <v>199542.94</v>
      </c>
      <c r="L386" s="58">
        <v>186164.12</v>
      </c>
      <c r="M386" s="58">
        <v>337445.89</v>
      </c>
      <c r="N386" s="58"/>
      <c r="O386" s="58"/>
      <c r="P386" s="58"/>
      <c r="Q386" s="58"/>
      <c r="R386" s="58"/>
      <c r="S386" s="58"/>
      <c r="T386" s="58">
        <v>934686.26</v>
      </c>
      <c r="U386"/>
    </row>
    <row r="387" spans="1:21">
      <c r="A387" s="105" t="s">
        <v>616</v>
      </c>
      <c r="B387" s="58"/>
      <c r="C387" s="58"/>
      <c r="D387" s="58"/>
      <c r="E387" s="58"/>
      <c r="F387" s="58"/>
      <c r="G387" s="58"/>
      <c r="H387" s="58"/>
      <c r="I387" s="58">
        <v>0</v>
      </c>
      <c r="J387" s="58">
        <v>616845.09</v>
      </c>
      <c r="K387" s="58">
        <v>596965.14</v>
      </c>
      <c r="L387" s="58">
        <v>626105.87</v>
      </c>
      <c r="M387" s="58">
        <v>452789.81</v>
      </c>
      <c r="N387" s="58"/>
      <c r="O387" s="58"/>
      <c r="P387" s="58"/>
      <c r="Q387" s="58"/>
      <c r="R387" s="58"/>
      <c r="S387" s="58"/>
      <c r="T387" s="58">
        <v>2292705.91</v>
      </c>
      <c r="U387"/>
    </row>
    <row r="388" spans="1:21">
      <c r="A388" s="105" t="s">
        <v>612</v>
      </c>
      <c r="B388" s="58"/>
      <c r="C388" s="58"/>
      <c r="D388" s="58"/>
      <c r="E388" s="58"/>
      <c r="F388" s="58"/>
      <c r="G388" s="58"/>
      <c r="H388" s="58">
        <v>0</v>
      </c>
      <c r="I388" s="58">
        <v>0</v>
      </c>
      <c r="J388" s="58">
        <v>0</v>
      </c>
      <c r="K388" s="58">
        <v>0</v>
      </c>
      <c r="L388" s="58">
        <v>0</v>
      </c>
      <c r="M388" s="58">
        <v>8792725.3100000005</v>
      </c>
      <c r="N388" s="58">
        <v>0</v>
      </c>
      <c r="O388" s="58">
        <v>0</v>
      </c>
      <c r="P388" s="58">
        <v>0</v>
      </c>
      <c r="Q388" s="58">
        <v>0</v>
      </c>
      <c r="R388" s="58">
        <v>0</v>
      </c>
      <c r="S388" s="58"/>
      <c r="T388" s="58">
        <v>8792725.3100000005</v>
      </c>
      <c r="U388"/>
    </row>
    <row r="389" spans="1:21">
      <c r="A389" s="104" t="s">
        <v>263</v>
      </c>
      <c r="B389" s="58"/>
      <c r="C389" s="58"/>
      <c r="D389" s="58"/>
      <c r="E389" s="58"/>
      <c r="F389" s="58"/>
      <c r="G389" s="58"/>
      <c r="H389" s="58"/>
      <c r="I389" s="58"/>
      <c r="J389" s="58"/>
      <c r="K389" s="58"/>
      <c r="L389" s="58"/>
      <c r="M389" s="58"/>
      <c r="N389" s="58"/>
      <c r="O389" s="58"/>
      <c r="P389" s="58"/>
      <c r="Q389" s="58"/>
      <c r="R389" s="58"/>
      <c r="S389" s="58"/>
      <c r="T389" s="58"/>
      <c r="U389"/>
    </row>
    <row r="390" spans="1:21">
      <c r="A390" s="105" t="s">
        <v>622</v>
      </c>
      <c r="B390" s="58"/>
      <c r="C390" s="58"/>
      <c r="D390" s="58"/>
      <c r="E390" s="58"/>
      <c r="F390" s="58"/>
      <c r="G390" s="58"/>
      <c r="H390" s="58"/>
      <c r="I390" s="58">
        <v>9000000</v>
      </c>
      <c r="J390" s="58">
        <v>8463547</v>
      </c>
      <c r="K390" s="58">
        <v>7924906</v>
      </c>
      <c r="L390" s="58">
        <v>7383947</v>
      </c>
      <c r="M390" s="58">
        <v>0</v>
      </c>
      <c r="N390" s="58"/>
      <c r="O390" s="58"/>
      <c r="P390" s="58"/>
      <c r="Q390" s="58"/>
      <c r="R390" s="58"/>
      <c r="S390" s="58"/>
      <c r="T390" s="58">
        <v>9000000</v>
      </c>
      <c r="U390"/>
    </row>
    <row r="391" spans="1:21">
      <c r="A391" s="105" t="s">
        <v>614</v>
      </c>
      <c r="B391" s="58"/>
      <c r="C391" s="58"/>
      <c r="D391" s="58"/>
      <c r="E391" s="58"/>
      <c r="F391" s="58"/>
      <c r="G391" s="58"/>
      <c r="H391" s="58"/>
      <c r="I391" s="58">
        <v>0</v>
      </c>
      <c r="J391" s="58">
        <v>198187.5</v>
      </c>
      <c r="K391" s="58">
        <v>184493.56</v>
      </c>
      <c r="L391" s="58">
        <v>172751.94</v>
      </c>
      <c r="M391" s="58">
        <v>161400.76999999999</v>
      </c>
      <c r="N391" s="58"/>
      <c r="O391" s="58"/>
      <c r="P391" s="58"/>
      <c r="Q391" s="58"/>
      <c r="R391" s="58"/>
      <c r="S391" s="58"/>
      <c r="T391" s="58">
        <v>716833.77</v>
      </c>
      <c r="U391"/>
    </row>
    <row r="392" spans="1:21">
      <c r="A392" s="105" t="s">
        <v>616</v>
      </c>
      <c r="B392" s="58"/>
      <c r="C392" s="58"/>
      <c r="D392" s="58"/>
      <c r="E392" s="58"/>
      <c r="F392" s="58"/>
      <c r="G392" s="58"/>
      <c r="H392" s="58"/>
      <c r="I392" s="58">
        <v>0</v>
      </c>
      <c r="J392" s="58">
        <v>536453.43999999994</v>
      </c>
      <c r="K392" s="58">
        <v>538640.65</v>
      </c>
      <c r="L392" s="58">
        <v>540959.07999999996</v>
      </c>
      <c r="M392" s="58">
        <v>543416.63</v>
      </c>
      <c r="N392" s="58"/>
      <c r="O392" s="58"/>
      <c r="P392" s="58"/>
      <c r="Q392" s="58"/>
      <c r="R392" s="58"/>
      <c r="S392" s="58"/>
      <c r="T392" s="58">
        <v>2159469.7999999998</v>
      </c>
      <c r="U392"/>
    </row>
    <row r="393" spans="1:21">
      <c r="A393" s="105" t="s">
        <v>612</v>
      </c>
      <c r="B393" s="58"/>
      <c r="C393" s="58"/>
      <c r="D393" s="58"/>
      <c r="E393" s="58"/>
      <c r="F393" s="58"/>
      <c r="G393" s="58"/>
      <c r="H393" s="58">
        <v>0</v>
      </c>
      <c r="I393" s="58">
        <v>0</v>
      </c>
      <c r="J393" s="58">
        <v>0</v>
      </c>
      <c r="K393" s="58">
        <v>0</v>
      </c>
      <c r="L393" s="58">
        <v>0</v>
      </c>
      <c r="M393" s="58">
        <v>6841000</v>
      </c>
      <c r="N393" s="58">
        <v>0</v>
      </c>
      <c r="O393" s="58">
        <v>0</v>
      </c>
      <c r="P393" s="58">
        <v>0</v>
      </c>
      <c r="Q393" s="58">
        <v>0</v>
      </c>
      <c r="R393" s="58">
        <v>0</v>
      </c>
      <c r="S393" s="58"/>
      <c r="T393" s="58">
        <v>6841000</v>
      </c>
      <c r="U393"/>
    </row>
    <row r="394" spans="1:21">
      <c r="A394" s="104" t="s">
        <v>261</v>
      </c>
      <c r="B394" s="58"/>
      <c r="C394" s="58"/>
      <c r="D394" s="58"/>
      <c r="E394" s="58"/>
      <c r="F394" s="58"/>
      <c r="G394" s="58"/>
      <c r="H394" s="58"/>
      <c r="I394" s="58"/>
      <c r="J394" s="58"/>
      <c r="K394" s="58"/>
      <c r="L394" s="58"/>
      <c r="M394" s="58"/>
      <c r="N394" s="58"/>
      <c r="O394" s="58"/>
      <c r="P394" s="58"/>
      <c r="Q394" s="58"/>
      <c r="R394" s="58"/>
      <c r="S394" s="58"/>
      <c r="T394" s="58"/>
      <c r="U394"/>
    </row>
    <row r="395" spans="1:21">
      <c r="A395" s="105" t="s">
        <v>622</v>
      </c>
      <c r="B395" s="58"/>
      <c r="C395" s="58"/>
      <c r="D395" s="58"/>
      <c r="E395" s="58"/>
      <c r="F395" s="58"/>
      <c r="G395" s="58"/>
      <c r="H395" s="58"/>
      <c r="I395" s="58">
        <v>11246513</v>
      </c>
      <c r="J395" s="58">
        <v>10811289</v>
      </c>
      <c r="K395" s="58">
        <v>0</v>
      </c>
      <c r="L395" s="58"/>
      <c r="M395" s="58"/>
      <c r="N395" s="58"/>
      <c r="O395" s="58"/>
      <c r="P395" s="58"/>
      <c r="Q395" s="58"/>
      <c r="R395" s="58"/>
      <c r="S395" s="58"/>
      <c r="T395" s="58">
        <v>11246513</v>
      </c>
      <c r="U395"/>
    </row>
    <row r="396" spans="1:21">
      <c r="A396" s="105" t="s">
        <v>614</v>
      </c>
      <c r="B396" s="58"/>
      <c r="C396" s="58"/>
      <c r="D396" s="58"/>
      <c r="E396" s="58"/>
      <c r="F396" s="58"/>
      <c r="G396" s="58"/>
      <c r="H396" s="58"/>
      <c r="I396" s="58">
        <v>0</v>
      </c>
      <c r="J396" s="58">
        <v>340941.17</v>
      </c>
      <c r="K396" s="58">
        <v>327747.23</v>
      </c>
      <c r="L396" s="58"/>
      <c r="M396" s="58"/>
      <c r="N396" s="58"/>
      <c r="O396" s="58"/>
      <c r="P396" s="58"/>
      <c r="Q396" s="58"/>
      <c r="R396" s="58"/>
      <c r="S396" s="58"/>
      <c r="T396" s="58">
        <v>668688.39999999991</v>
      </c>
      <c r="U396"/>
    </row>
    <row r="397" spans="1:21">
      <c r="A397" s="105" t="s">
        <v>616</v>
      </c>
      <c r="B397" s="58"/>
      <c r="C397" s="58"/>
      <c r="D397" s="58"/>
      <c r="E397" s="58"/>
      <c r="F397" s="58"/>
      <c r="G397" s="58"/>
      <c r="H397" s="58"/>
      <c r="I397" s="58">
        <v>0</v>
      </c>
      <c r="J397" s="58">
        <v>435224</v>
      </c>
      <c r="K397" s="58">
        <v>456986</v>
      </c>
      <c r="L397" s="58"/>
      <c r="M397" s="58"/>
      <c r="N397" s="58"/>
      <c r="O397" s="58"/>
      <c r="P397" s="58"/>
      <c r="Q397" s="58"/>
      <c r="R397" s="58"/>
      <c r="S397" s="58"/>
      <c r="T397" s="58">
        <v>892210</v>
      </c>
      <c r="U397"/>
    </row>
    <row r="398" spans="1:21">
      <c r="A398" s="105" t="s">
        <v>612</v>
      </c>
      <c r="B398" s="58"/>
      <c r="C398" s="58"/>
      <c r="D398" s="58"/>
      <c r="E398" s="58"/>
      <c r="F398" s="58"/>
      <c r="G398" s="58"/>
      <c r="H398" s="58">
        <v>0</v>
      </c>
      <c r="I398" s="58">
        <v>0</v>
      </c>
      <c r="J398" s="58">
        <v>0</v>
      </c>
      <c r="K398" s="58">
        <v>10354000</v>
      </c>
      <c r="L398" s="58">
        <v>0</v>
      </c>
      <c r="M398" s="58"/>
      <c r="N398" s="58">
        <v>0</v>
      </c>
      <c r="O398" s="58">
        <v>0</v>
      </c>
      <c r="P398" s="58">
        <v>0</v>
      </c>
      <c r="Q398" s="58">
        <v>0</v>
      </c>
      <c r="R398" s="58">
        <v>0</v>
      </c>
      <c r="S398" s="58"/>
      <c r="T398" s="58">
        <v>10354000</v>
      </c>
      <c r="U398"/>
    </row>
    <row r="399" spans="1:21">
      <c r="A399" s="104" t="s">
        <v>265</v>
      </c>
      <c r="B399" s="58"/>
      <c r="C399" s="58"/>
      <c r="D399" s="58"/>
      <c r="E399" s="58"/>
      <c r="F399" s="58"/>
      <c r="G399" s="58"/>
      <c r="H399" s="58"/>
      <c r="I399" s="58"/>
      <c r="J399" s="58"/>
      <c r="K399" s="58"/>
      <c r="L399" s="58"/>
      <c r="M399" s="58"/>
      <c r="N399" s="58"/>
      <c r="O399" s="58"/>
      <c r="P399" s="58"/>
      <c r="Q399" s="58"/>
      <c r="R399" s="58"/>
      <c r="S399" s="58"/>
      <c r="T399" s="58"/>
      <c r="U399"/>
    </row>
    <row r="400" spans="1:21">
      <c r="A400" s="105" t="s">
        <v>622</v>
      </c>
      <c r="B400" s="58"/>
      <c r="C400" s="58"/>
      <c r="D400" s="58"/>
      <c r="E400" s="58"/>
      <c r="F400" s="58"/>
      <c r="G400" s="58"/>
      <c r="H400" s="58"/>
      <c r="I400" s="58"/>
      <c r="J400" s="58">
        <v>5905988</v>
      </c>
      <c r="K400" s="58">
        <v>5711564</v>
      </c>
      <c r="L400" s="58">
        <v>5508282</v>
      </c>
      <c r="M400" s="58">
        <v>5295739</v>
      </c>
      <c r="N400" s="58">
        <v>5073513</v>
      </c>
      <c r="O400" s="58">
        <v>4841162</v>
      </c>
      <c r="P400" s="58">
        <v>4598226</v>
      </c>
      <c r="Q400" s="58">
        <v>4344223</v>
      </c>
      <c r="R400" s="58">
        <v>4078647</v>
      </c>
      <c r="S400" s="58">
        <v>3800972</v>
      </c>
      <c r="T400" s="58">
        <v>5905988</v>
      </c>
      <c r="U400"/>
    </row>
    <row r="401" spans="1:21">
      <c r="A401" s="105" t="s">
        <v>614</v>
      </c>
      <c r="B401" s="58"/>
      <c r="C401" s="58"/>
      <c r="D401" s="58"/>
      <c r="E401" s="58"/>
      <c r="F401" s="58"/>
      <c r="G401" s="58"/>
      <c r="H401" s="58"/>
      <c r="I401" s="58"/>
      <c r="J401" s="58">
        <v>139838.16</v>
      </c>
      <c r="K401" s="58">
        <v>265445.80173044151</v>
      </c>
      <c r="L401" s="58">
        <v>255998.24</v>
      </c>
      <c r="M401" s="58">
        <v>236790.58</v>
      </c>
      <c r="N401" s="58">
        <v>236790.56</v>
      </c>
      <c r="O401" s="58">
        <v>226525.54</v>
      </c>
      <c r="P401" s="58">
        <v>215792.87</v>
      </c>
      <c r="Q401" s="58">
        <v>205135.68</v>
      </c>
      <c r="R401" s="58">
        <v>192838.35</v>
      </c>
      <c r="S401" s="58">
        <v>180570.94</v>
      </c>
      <c r="T401" s="58">
        <v>2155726.7217304418</v>
      </c>
      <c r="U401"/>
    </row>
    <row r="402" spans="1:21">
      <c r="A402" s="105" t="s">
        <v>616</v>
      </c>
      <c r="B402" s="58"/>
      <c r="C402" s="58"/>
      <c r="D402" s="58"/>
      <c r="E402" s="58"/>
      <c r="F402" s="58"/>
      <c r="G402" s="58"/>
      <c r="H402" s="58"/>
      <c r="I402" s="58"/>
      <c r="J402" s="58">
        <v>94011.79</v>
      </c>
      <c r="K402" s="58">
        <v>203282</v>
      </c>
      <c r="L402" s="58">
        <v>203281.92000000001</v>
      </c>
      <c r="M402" s="58">
        <v>222226.2</v>
      </c>
      <c r="N402" s="58">
        <v>222226.2</v>
      </c>
      <c r="O402" s="58">
        <v>232350.45</v>
      </c>
      <c r="P402" s="58">
        <v>242935.93</v>
      </c>
      <c r="Q402" s="58">
        <v>254003.7</v>
      </c>
      <c r="R402" s="58">
        <v>265575.73</v>
      </c>
      <c r="S402" s="58">
        <v>277674.92</v>
      </c>
      <c r="T402" s="58">
        <v>2217568.84</v>
      </c>
      <c r="U402"/>
    </row>
    <row r="403" spans="1:21">
      <c r="A403" s="105" t="s">
        <v>612</v>
      </c>
      <c r="B403" s="58"/>
      <c r="C403" s="58"/>
      <c r="D403" s="58"/>
      <c r="E403" s="58"/>
      <c r="F403" s="58"/>
      <c r="G403" s="58"/>
      <c r="H403" s="58"/>
      <c r="I403" s="58">
        <v>0</v>
      </c>
      <c r="J403" s="58">
        <v>0</v>
      </c>
      <c r="K403" s="58">
        <v>0</v>
      </c>
      <c r="L403" s="58">
        <v>0</v>
      </c>
      <c r="M403" s="58">
        <v>0</v>
      </c>
      <c r="N403" s="58">
        <v>0</v>
      </c>
      <c r="O403" s="58">
        <v>0</v>
      </c>
      <c r="P403" s="58">
        <v>0</v>
      </c>
      <c r="Q403" s="58">
        <v>0</v>
      </c>
      <c r="R403" s="58">
        <v>0</v>
      </c>
      <c r="S403" s="58">
        <v>0</v>
      </c>
      <c r="T403" s="58">
        <v>0</v>
      </c>
      <c r="U403"/>
    </row>
    <row r="404" spans="1:21">
      <c r="A404" s="104" t="s">
        <v>286</v>
      </c>
      <c r="B404" s="58"/>
      <c r="C404" s="58"/>
      <c r="D404" s="58"/>
      <c r="E404" s="58"/>
      <c r="F404" s="58"/>
      <c r="G404" s="58"/>
      <c r="H404" s="58"/>
      <c r="I404" s="58"/>
      <c r="J404" s="58"/>
      <c r="K404" s="58"/>
      <c r="L404" s="58"/>
      <c r="M404" s="58"/>
      <c r="N404" s="58"/>
      <c r="O404" s="58"/>
      <c r="P404" s="58"/>
      <c r="Q404" s="58"/>
      <c r="R404" s="58"/>
      <c r="S404" s="58"/>
      <c r="T404" s="58"/>
      <c r="U404"/>
    </row>
    <row r="405" spans="1:21">
      <c r="A405" s="105" t="s">
        <v>622</v>
      </c>
      <c r="B405" s="58"/>
      <c r="C405" s="58"/>
      <c r="D405" s="58"/>
      <c r="E405" s="58"/>
      <c r="F405" s="58"/>
      <c r="G405" s="58"/>
      <c r="H405" s="58"/>
      <c r="I405" s="58"/>
      <c r="J405" s="58"/>
      <c r="K405" s="58">
        <v>9799674</v>
      </c>
      <c r="L405" s="58">
        <v>0</v>
      </c>
      <c r="M405" s="58"/>
      <c r="N405" s="58"/>
      <c r="O405" s="58"/>
      <c r="P405" s="58"/>
      <c r="Q405" s="58"/>
      <c r="R405" s="58"/>
      <c r="S405" s="58"/>
      <c r="T405" s="58">
        <v>9799674</v>
      </c>
      <c r="U405"/>
    </row>
    <row r="406" spans="1:21">
      <c r="A406" s="105" t="s">
        <v>614</v>
      </c>
      <c r="B406" s="58"/>
      <c r="C406" s="58"/>
      <c r="D406" s="58"/>
      <c r="E406" s="58"/>
      <c r="F406" s="58"/>
      <c r="G406" s="58"/>
      <c r="H406" s="58"/>
      <c r="I406" s="58"/>
      <c r="J406" s="58"/>
      <c r="K406" s="58">
        <v>0</v>
      </c>
      <c r="L406" s="58">
        <v>536092.52</v>
      </c>
      <c r="M406" s="58"/>
      <c r="N406" s="58"/>
      <c r="O406" s="58"/>
      <c r="P406" s="58"/>
      <c r="Q406" s="58"/>
      <c r="R406" s="58"/>
      <c r="S406" s="58"/>
      <c r="T406" s="58">
        <v>536092.52</v>
      </c>
      <c r="U406"/>
    </row>
    <row r="407" spans="1:21">
      <c r="A407" s="105" t="s">
        <v>616</v>
      </c>
      <c r="B407" s="58"/>
      <c r="C407" s="58"/>
      <c r="D407" s="58"/>
      <c r="E407" s="58"/>
      <c r="F407" s="58"/>
      <c r="G407" s="58"/>
      <c r="H407" s="58"/>
      <c r="I407" s="58"/>
      <c r="J407" s="58"/>
      <c r="K407" s="58">
        <v>0</v>
      </c>
      <c r="L407" s="58">
        <v>412099.97</v>
      </c>
      <c r="M407" s="58"/>
      <c r="N407" s="58"/>
      <c r="O407" s="58"/>
      <c r="P407" s="58"/>
      <c r="Q407" s="58"/>
      <c r="R407" s="58"/>
      <c r="S407" s="58"/>
      <c r="T407" s="58">
        <v>412099.97</v>
      </c>
      <c r="U407"/>
    </row>
    <row r="408" spans="1:21">
      <c r="A408" s="105" t="s">
        <v>612</v>
      </c>
      <c r="B408" s="58"/>
      <c r="C408" s="58"/>
      <c r="D408" s="58"/>
      <c r="E408" s="58"/>
      <c r="F408" s="58"/>
      <c r="G408" s="58"/>
      <c r="H408" s="58"/>
      <c r="I408" s="58"/>
      <c r="J408" s="58">
        <v>0</v>
      </c>
      <c r="K408" s="58">
        <v>0</v>
      </c>
      <c r="L408" s="58">
        <v>9366000</v>
      </c>
      <c r="M408" s="58">
        <v>0</v>
      </c>
      <c r="N408" s="58">
        <v>0</v>
      </c>
      <c r="O408" s="58">
        <v>0</v>
      </c>
      <c r="P408" s="58">
        <v>0</v>
      </c>
      <c r="Q408" s="58">
        <v>0</v>
      </c>
      <c r="R408" s="58">
        <v>0</v>
      </c>
      <c r="S408" s="58"/>
      <c r="T408" s="58">
        <v>9366000</v>
      </c>
      <c r="U408"/>
    </row>
    <row r="409" spans="1:21">
      <c r="A409" s="104" t="s">
        <v>270</v>
      </c>
      <c r="B409" s="58"/>
      <c r="C409" s="58"/>
      <c r="D409" s="58"/>
      <c r="E409" s="58"/>
      <c r="F409" s="58"/>
      <c r="G409" s="58"/>
      <c r="H409" s="58"/>
      <c r="I409" s="58"/>
      <c r="J409" s="58"/>
      <c r="K409" s="58"/>
      <c r="L409" s="58"/>
      <c r="M409" s="58"/>
      <c r="N409" s="58"/>
      <c r="O409" s="58"/>
      <c r="P409" s="58"/>
      <c r="Q409" s="58"/>
      <c r="R409" s="58"/>
      <c r="S409" s="58"/>
      <c r="T409" s="58"/>
      <c r="U409"/>
    </row>
    <row r="410" spans="1:21">
      <c r="A410" s="105" t="s">
        <v>622</v>
      </c>
      <c r="B410" s="58"/>
      <c r="C410" s="58"/>
      <c r="D410" s="58"/>
      <c r="E410" s="58"/>
      <c r="F410" s="58"/>
      <c r="G410" s="58"/>
      <c r="H410" s="58"/>
      <c r="I410" s="58"/>
      <c r="J410" s="58">
        <v>12886347</v>
      </c>
      <c r="K410" s="58">
        <v>12500993</v>
      </c>
      <c r="L410" s="58">
        <v>12130288</v>
      </c>
      <c r="M410" s="58">
        <v>11773938</v>
      </c>
      <c r="N410" s="58">
        <v>11431629</v>
      </c>
      <c r="O410" s="58">
        <v>11015179</v>
      </c>
      <c r="P410" s="58">
        <v>10524048</v>
      </c>
      <c r="Q410" s="58">
        <v>9938300</v>
      </c>
      <c r="R410" s="58">
        <v>0</v>
      </c>
      <c r="S410" s="58"/>
      <c r="T410" s="58">
        <v>12886347</v>
      </c>
      <c r="U410"/>
    </row>
    <row r="411" spans="1:21">
      <c r="A411" s="105" t="s">
        <v>614</v>
      </c>
      <c r="B411" s="58"/>
      <c r="C411" s="58"/>
      <c r="D411" s="58"/>
      <c r="E411" s="58"/>
      <c r="F411" s="58"/>
      <c r="G411" s="58"/>
      <c r="H411" s="58"/>
      <c r="I411" s="58"/>
      <c r="J411" s="58">
        <v>0</v>
      </c>
      <c r="K411" s="58">
        <v>521306.42</v>
      </c>
      <c r="L411" s="58">
        <v>474030.7</v>
      </c>
      <c r="M411" s="58">
        <v>446461.16</v>
      </c>
      <c r="N411" s="58">
        <v>446461.18</v>
      </c>
      <c r="O411" s="58">
        <v>433481.03</v>
      </c>
      <c r="P411" s="58">
        <v>417689.47</v>
      </c>
      <c r="Q411" s="58">
        <v>400159.4</v>
      </c>
      <c r="R411" s="58">
        <v>376854.82</v>
      </c>
      <c r="S411" s="58"/>
      <c r="T411" s="58">
        <v>3516444.1799999997</v>
      </c>
      <c r="U411"/>
    </row>
    <row r="412" spans="1:21">
      <c r="A412" s="105" t="s">
        <v>616</v>
      </c>
      <c r="B412" s="58"/>
      <c r="C412" s="58"/>
      <c r="D412" s="58"/>
      <c r="E412" s="58"/>
      <c r="F412" s="58"/>
      <c r="G412" s="58"/>
      <c r="H412" s="58"/>
      <c r="I412" s="58"/>
      <c r="J412" s="58">
        <v>0</v>
      </c>
      <c r="K412" s="58">
        <v>385354.01</v>
      </c>
      <c r="L412" s="58">
        <v>370704.69</v>
      </c>
      <c r="M412" s="58">
        <v>342308.49</v>
      </c>
      <c r="N412" s="58">
        <v>343308.49</v>
      </c>
      <c r="O412" s="58">
        <v>416450.18</v>
      </c>
      <c r="P412" s="58">
        <v>491130.78</v>
      </c>
      <c r="Q412" s="58">
        <v>585748.06999999995</v>
      </c>
      <c r="R412" s="58">
        <v>690542.22</v>
      </c>
      <c r="S412" s="58"/>
      <c r="T412" s="58">
        <v>3625546.9299999997</v>
      </c>
      <c r="U412"/>
    </row>
    <row r="413" spans="1:21">
      <c r="A413" s="105" t="s">
        <v>612</v>
      </c>
      <c r="B413" s="58"/>
      <c r="C413" s="58"/>
      <c r="D413" s="58"/>
      <c r="E413" s="58"/>
      <c r="F413" s="58"/>
      <c r="G413" s="58"/>
      <c r="H413" s="58"/>
      <c r="I413" s="58"/>
      <c r="J413" s="58">
        <v>0</v>
      </c>
      <c r="K413" s="58">
        <v>0</v>
      </c>
      <c r="L413" s="58">
        <v>0</v>
      </c>
      <c r="M413" s="58">
        <v>0</v>
      </c>
      <c r="N413" s="58">
        <v>0</v>
      </c>
      <c r="O413" s="58">
        <v>0</v>
      </c>
      <c r="P413" s="58">
        <v>0</v>
      </c>
      <c r="Q413" s="58">
        <v>0</v>
      </c>
      <c r="R413" s="58">
        <v>9248000</v>
      </c>
      <c r="S413" s="58">
        <v>0</v>
      </c>
      <c r="T413" s="58">
        <v>9248000</v>
      </c>
      <c r="U413"/>
    </row>
    <row r="414" spans="1:21">
      <c r="A414" s="104" t="s">
        <v>269</v>
      </c>
      <c r="B414" s="58"/>
      <c r="C414" s="58"/>
      <c r="D414" s="58"/>
      <c r="E414" s="58"/>
      <c r="F414" s="58"/>
      <c r="G414" s="58"/>
      <c r="H414" s="58"/>
      <c r="I414" s="58"/>
      <c r="J414" s="58"/>
      <c r="K414" s="58"/>
      <c r="L414" s="58"/>
      <c r="M414" s="58"/>
      <c r="N414" s="58"/>
      <c r="O414" s="58"/>
      <c r="P414" s="58"/>
      <c r="Q414" s="58"/>
      <c r="R414" s="58"/>
      <c r="S414" s="58"/>
      <c r="T414" s="58"/>
      <c r="U414"/>
    </row>
    <row r="415" spans="1:21">
      <c r="A415" s="105" t="s">
        <v>622</v>
      </c>
      <c r="B415" s="58"/>
      <c r="C415" s="58"/>
      <c r="D415" s="58"/>
      <c r="E415" s="58"/>
      <c r="F415" s="58"/>
      <c r="G415" s="58"/>
      <c r="H415" s="58"/>
      <c r="I415" s="58"/>
      <c r="J415" s="58">
        <v>10811289</v>
      </c>
      <c r="K415" s="58">
        <v>0</v>
      </c>
      <c r="L415" s="58"/>
      <c r="M415" s="58"/>
      <c r="N415" s="58"/>
      <c r="O415" s="58"/>
      <c r="P415" s="58"/>
      <c r="Q415" s="58"/>
      <c r="R415" s="58"/>
      <c r="S415" s="58"/>
      <c r="T415" s="58">
        <v>10811289</v>
      </c>
      <c r="U415"/>
    </row>
    <row r="416" spans="1:21">
      <c r="A416" s="105" t="s">
        <v>614</v>
      </c>
      <c r="B416" s="58"/>
      <c r="C416" s="58"/>
      <c r="D416" s="58"/>
      <c r="E416" s="58"/>
      <c r="F416" s="58"/>
      <c r="G416" s="58"/>
      <c r="H416" s="58"/>
      <c r="I416" s="58"/>
      <c r="J416" s="58">
        <v>0</v>
      </c>
      <c r="K416" s="58">
        <v>363920</v>
      </c>
      <c r="L416" s="58"/>
      <c r="M416" s="58"/>
      <c r="N416" s="58"/>
      <c r="O416" s="58"/>
      <c r="P416" s="58"/>
      <c r="Q416" s="58"/>
      <c r="R416" s="58"/>
      <c r="S416" s="58"/>
      <c r="T416" s="58">
        <v>363920</v>
      </c>
      <c r="U416"/>
    </row>
    <row r="417" spans="1:21">
      <c r="A417" s="105" t="s">
        <v>616</v>
      </c>
      <c r="B417" s="58"/>
      <c r="C417" s="58"/>
      <c r="D417" s="58"/>
      <c r="E417" s="58"/>
      <c r="F417" s="58"/>
      <c r="G417" s="58"/>
      <c r="H417" s="58"/>
      <c r="I417" s="58"/>
      <c r="J417" s="58">
        <v>0</v>
      </c>
      <c r="K417" s="58">
        <v>456986</v>
      </c>
      <c r="L417" s="58"/>
      <c r="M417" s="58"/>
      <c r="N417" s="58"/>
      <c r="O417" s="58"/>
      <c r="P417" s="58"/>
      <c r="Q417" s="58"/>
      <c r="R417" s="58"/>
      <c r="S417" s="58"/>
      <c r="T417" s="58">
        <v>456986</v>
      </c>
      <c r="U417"/>
    </row>
    <row r="418" spans="1:21">
      <c r="A418" s="105" t="s">
        <v>612</v>
      </c>
      <c r="B418" s="58"/>
      <c r="C418" s="58"/>
      <c r="D418" s="58"/>
      <c r="E418" s="58"/>
      <c r="F418" s="58"/>
      <c r="G418" s="58"/>
      <c r="H418" s="58"/>
      <c r="I418" s="58">
        <v>0</v>
      </c>
      <c r="J418" s="58">
        <v>0</v>
      </c>
      <c r="K418" s="58">
        <v>10354000</v>
      </c>
      <c r="L418" s="58">
        <v>0</v>
      </c>
      <c r="M418" s="58"/>
      <c r="N418" s="58">
        <v>0</v>
      </c>
      <c r="O418" s="58">
        <v>0</v>
      </c>
      <c r="P418" s="58">
        <v>0</v>
      </c>
      <c r="Q418" s="58">
        <v>0</v>
      </c>
      <c r="R418" s="58">
        <v>0</v>
      </c>
      <c r="S418" s="58"/>
      <c r="T418" s="58">
        <v>10354000</v>
      </c>
      <c r="U418"/>
    </row>
    <row r="419" spans="1:21">
      <c r="A419" s="104" t="s">
        <v>338</v>
      </c>
      <c r="B419" s="58"/>
      <c r="C419" s="58"/>
      <c r="D419" s="58"/>
      <c r="E419" s="58"/>
      <c r="F419" s="58"/>
      <c r="G419" s="58"/>
      <c r="H419" s="58"/>
      <c r="I419" s="58"/>
      <c r="J419" s="58"/>
      <c r="K419" s="58"/>
      <c r="L419" s="58"/>
      <c r="M419" s="58"/>
      <c r="N419" s="58"/>
      <c r="O419" s="58"/>
      <c r="P419" s="58"/>
      <c r="Q419" s="58"/>
      <c r="R419" s="58"/>
      <c r="S419" s="58"/>
      <c r="T419" s="58"/>
      <c r="U419"/>
    </row>
    <row r="420" spans="1:21">
      <c r="A420" s="105" t="s">
        <v>622</v>
      </c>
      <c r="B420" s="58"/>
      <c r="C420" s="58"/>
      <c r="D420" s="58"/>
      <c r="E420" s="58"/>
      <c r="F420" s="58"/>
      <c r="G420" s="58"/>
      <c r="H420" s="58"/>
      <c r="I420" s="58"/>
      <c r="J420" s="58"/>
      <c r="K420" s="58"/>
      <c r="L420" s="58">
        <v>4825730</v>
      </c>
      <c r="M420" s="58">
        <v>4649497</v>
      </c>
      <c r="N420" s="58">
        <v>4471278</v>
      </c>
      <c r="O420" s="58">
        <v>4291051</v>
      </c>
      <c r="P420" s="58">
        <v>4108794</v>
      </c>
      <c r="Q420" s="58">
        <v>3924483</v>
      </c>
      <c r="R420" s="58">
        <v>3738095</v>
      </c>
      <c r="S420" s="58">
        <v>3549607</v>
      </c>
      <c r="T420" s="58">
        <v>4825730</v>
      </c>
      <c r="U420"/>
    </row>
    <row r="421" spans="1:21">
      <c r="A421" s="105" t="s">
        <v>614</v>
      </c>
      <c r="B421" s="58"/>
      <c r="C421" s="58"/>
      <c r="D421" s="58"/>
      <c r="E421" s="58"/>
      <c r="F421" s="58"/>
      <c r="G421" s="58"/>
      <c r="H421" s="58"/>
      <c r="I421" s="58"/>
      <c r="J421" s="58"/>
      <c r="K421" s="58"/>
      <c r="L421" s="58">
        <v>40030.269999999997</v>
      </c>
      <c r="M421" s="58">
        <v>30835.599999999999</v>
      </c>
      <c r="N421" s="58">
        <v>28164.560000000001</v>
      </c>
      <c r="O421" s="58">
        <v>29000.63</v>
      </c>
      <c r="P421" s="58">
        <v>17952.88</v>
      </c>
      <c r="Q421" s="58">
        <v>7477.3</v>
      </c>
      <c r="R421" s="58">
        <v>2912.34</v>
      </c>
      <c r="S421" s="58">
        <v>2814.87</v>
      </c>
      <c r="T421" s="58">
        <v>159188.44999999998</v>
      </c>
      <c r="U421"/>
    </row>
    <row r="422" spans="1:21">
      <c r="A422" s="105" t="s">
        <v>616</v>
      </c>
      <c r="B422" s="58"/>
      <c r="C422" s="58"/>
      <c r="D422" s="58"/>
      <c r="E422" s="58"/>
      <c r="F422" s="58"/>
      <c r="G422" s="58"/>
      <c r="H422" s="58"/>
      <c r="I422" s="58"/>
      <c r="J422" s="58"/>
      <c r="K422" s="58"/>
      <c r="L422" s="58">
        <v>0</v>
      </c>
      <c r="M422" s="58">
        <v>178218.86</v>
      </c>
      <c r="N422" s="58">
        <v>178218.66</v>
      </c>
      <c r="O422" s="58">
        <v>180226.89</v>
      </c>
      <c r="P422" s="58">
        <v>182257.58</v>
      </c>
      <c r="Q422" s="58">
        <v>184311.18</v>
      </c>
      <c r="R422" s="58">
        <v>186387.89</v>
      </c>
      <c r="S422" s="58">
        <v>188487.96</v>
      </c>
      <c r="T422" s="58">
        <v>1278109.02</v>
      </c>
      <c r="U422"/>
    </row>
    <row r="423" spans="1:21">
      <c r="A423" s="105" t="s">
        <v>612</v>
      </c>
      <c r="B423" s="58"/>
      <c r="C423" s="58"/>
      <c r="D423" s="58"/>
      <c r="E423" s="58"/>
      <c r="F423" s="58"/>
      <c r="G423" s="58"/>
      <c r="H423" s="58"/>
      <c r="I423" s="58"/>
      <c r="J423" s="58"/>
      <c r="K423" s="58">
        <v>0</v>
      </c>
      <c r="L423" s="58">
        <v>0</v>
      </c>
      <c r="M423" s="58">
        <v>0</v>
      </c>
      <c r="N423" s="58">
        <v>0</v>
      </c>
      <c r="O423" s="58">
        <v>0</v>
      </c>
      <c r="P423" s="58">
        <v>0</v>
      </c>
      <c r="Q423" s="58">
        <v>0</v>
      </c>
      <c r="R423" s="58">
        <v>0</v>
      </c>
      <c r="S423" s="58">
        <v>0</v>
      </c>
      <c r="T423" s="58">
        <v>0</v>
      </c>
      <c r="U423"/>
    </row>
    <row r="424" spans="1:21">
      <c r="A424" s="104" t="s">
        <v>272</v>
      </c>
      <c r="B424" s="58"/>
      <c r="C424" s="58"/>
      <c r="D424" s="58"/>
      <c r="E424" s="58"/>
      <c r="F424" s="58"/>
      <c r="G424" s="58"/>
      <c r="H424" s="58"/>
      <c r="I424" s="58"/>
      <c r="J424" s="58"/>
      <c r="K424" s="58"/>
      <c r="L424" s="58"/>
      <c r="M424" s="58"/>
      <c r="N424" s="58"/>
      <c r="O424" s="58"/>
      <c r="P424" s="58"/>
      <c r="Q424" s="58"/>
      <c r="R424" s="58"/>
      <c r="S424" s="58"/>
      <c r="T424" s="58"/>
      <c r="U424"/>
    </row>
    <row r="425" spans="1:21">
      <c r="A425" s="105" t="s">
        <v>622</v>
      </c>
      <c r="B425" s="58"/>
      <c r="C425" s="58"/>
      <c r="D425" s="58"/>
      <c r="E425" s="58"/>
      <c r="F425" s="58"/>
      <c r="G425" s="58"/>
      <c r="H425" s="58"/>
      <c r="I425" s="58"/>
      <c r="J425" s="58">
        <v>3000000</v>
      </c>
      <c r="K425" s="58">
        <v>5000000</v>
      </c>
      <c r="L425" s="58">
        <v>0</v>
      </c>
      <c r="M425" s="58"/>
      <c r="N425" s="58"/>
      <c r="O425" s="58"/>
      <c r="P425" s="58"/>
      <c r="Q425" s="58"/>
      <c r="R425" s="58"/>
      <c r="S425" s="58"/>
      <c r="T425" s="58">
        <v>5000000</v>
      </c>
      <c r="U425"/>
    </row>
    <row r="426" spans="1:21">
      <c r="A426" s="105" t="s">
        <v>614</v>
      </c>
      <c r="B426" s="58"/>
      <c r="C426" s="58"/>
      <c r="D426" s="58"/>
      <c r="E426" s="58"/>
      <c r="F426" s="58"/>
      <c r="G426" s="58"/>
      <c r="H426" s="58"/>
      <c r="I426" s="58"/>
      <c r="J426" s="58"/>
      <c r="K426" s="58">
        <v>36461.17</v>
      </c>
      <c r="L426" s="58">
        <v>48856.36</v>
      </c>
      <c r="M426" s="58"/>
      <c r="N426" s="58"/>
      <c r="O426" s="58"/>
      <c r="P426" s="58"/>
      <c r="Q426" s="58"/>
      <c r="R426" s="58"/>
      <c r="S426" s="58"/>
      <c r="T426" s="58">
        <v>85317.53</v>
      </c>
      <c r="U426"/>
    </row>
    <row r="427" spans="1:21">
      <c r="A427" s="105" t="s">
        <v>616</v>
      </c>
      <c r="B427" s="58"/>
      <c r="C427" s="58"/>
      <c r="D427" s="58"/>
      <c r="E427" s="58"/>
      <c r="F427" s="58"/>
      <c r="G427" s="58"/>
      <c r="H427" s="58"/>
      <c r="I427" s="58"/>
      <c r="J427" s="58"/>
      <c r="K427" s="58">
        <v>0</v>
      </c>
      <c r="L427" s="58">
        <v>174269.67</v>
      </c>
      <c r="M427" s="58"/>
      <c r="N427" s="58"/>
      <c r="O427" s="58"/>
      <c r="P427" s="58"/>
      <c r="Q427" s="58"/>
      <c r="R427" s="58"/>
      <c r="S427" s="58"/>
      <c r="T427" s="58">
        <v>174269.67</v>
      </c>
      <c r="U427"/>
    </row>
    <row r="428" spans="1:21">
      <c r="A428" s="105" t="s">
        <v>612</v>
      </c>
      <c r="B428" s="58"/>
      <c r="C428" s="58"/>
      <c r="D428" s="58"/>
      <c r="E428" s="58"/>
      <c r="F428" s="58"/>
      <c r="G428" s="58"/>
      <c r="H428" s="58"/>
      <c r="I428" s="58">
        <v>0</v>
      </c>
      <c r="J428" s="58">
        <v>0</v>
      </c>
      <c r="K428" s="58">
        <v>0</v>
      </c>
      <c r="L428" s="58">
        <v>4825730</v>
      </c>
      <c r="M428" s="58">
        <v>0</v>
      </c>
      <c r="N428" s="58">
        <v>0</v>
      </c>
      <c r="O428" s="58">
        <v>0</v>
      </c>
      <c r="P428" s="58">
        <v>0</v>
      </c>
      <c r="Q428" s="58">
        <v>0</v>
      </c>
      <c r="R428" s="58">
        <v>0</v>
      </c>
      <c r="S428" s="58"/>
      <c r="T428" s="58">
        <v>4825730</v>
      </c>
      <c r="U428"/>
    </row>
    <row r="429" spans="1:21">
      <c r="A429" s="104" t="s">
        <v>267</v>
      </c>
      <c r="B429" s="58"/>
      <c r="C429" s="58"/>
      <c r="D429" s="58"/>
      <c r="E429" s="58"/>
      <c r="F429" s="58"/>
      <c r="G429" s="58"/>
      <c r="H429" s="58"/>
      <c r="I429" s="58"/>
      <c r="J429" s="58"/>
      <c r="K429" s="58"/>
      <c r="L429" s="58"/>
      <c r="M429" s="58"/>
      <c r="N429" s="58"/>
      <c r="O429" s="58"/>
      <c r="P429" s="58"/>
      <c r="Q429" s="58"/>
      <c r="R429" s="58"/>
      <c r="S429" s="58"/>
      <c r="T429" s="58"/>
      <c r="U429"/>
    </row>
    <row r="430" spans="1:21">
      <c r="A430" s="105" t="s">
        <v>622</v>
      </c>
      <c r="B430" s="58"/>
      <c r="C430" s="58"/>
      <c r="D430" s="58"/>
      <c r="E430" s="58"/>
      <c r="F430" s="58"/>
      <c r="G430" s="58"/>
      <c r="H430" s="58"/>
      <c r="I430" s="58"/>
      <c r="J430" s="58">
        <v>3869020.1999999993</v>
      </c>
      <c r="K430" s="58">
        <v>0</v>
      </c>
      <c r="L430" s="58"/>
      <c r="M430" s="58"/>
      <c r="N430" s="58"/>
      <c r="O430" s="58"/>
      <c r="P430" s="58"/>
      <c r="Q430" s="58"/>
      <c r="R430" s="58"/>
      <c r="S430" s="58"/>
      <c r="T430" s="58">
        <v>3869020.1999999993</v>
      </c>
      <c r="U430"/>
    </row>
    <row r="431" spans="1:21">
      <c r="A431" s="105" t="s">
        <v>614</v>
      </c>
      <c r="B431" s="58"/>
      <c r="C431" s="58"/>
      <c r="D431" s="58"/>
      <c r="E431" s="58"/>
      <c r="F431" s="58"/>
      <c r="G431" s="58"/>
      <c r="H431" s="58"/>
      <c r="I431" s="58"/>
      <c r="J431" s="58">
        <v>136983.74500000005</v>
      </c>
      <c r="K431" s="58">
        <v>123566.82</v>
      </c>
      <c r="L431" s="58"/>
      <c r="M431" s="58"/>
      <c r="N431" s="58"/>
      <c r="O431" s="58"/>
      <c r="P431" s="58"/>
      <c r="Q431" s="58"/>
      <c r="R431" s="58"/>
      <c r="S431" s="58"/>
      <c r="T431" s="58">
        <v>260550.56500000006</v>
      </c>
      <c r="U431"/>
    </row>
    <row r="432" spans="1:21">
      <c r="A432" s="105" t="s">
        <v>616</v>
      </c>
      <c r="B432" s="58"/>
      <c r="C432" s="58"/>
      <c r="D432" s="58"/>
      <c r="E432" s="58"/>
      <c r="F432" s="58"/>
      <c r="G432" s="58"/>
      <c r="H432" s="58"/>
      <c r="I432" s="58"/>
      <c r="J432" s="58">
        <v>130842.48999999999</v>
      </c>
      <c r="K432" s="58">
        <v>137529.04</v>
      </c>
      <c r="L432" s="58"/>
      <c r="M432" s="58"/>
      <c r="N432" s="58"/>
      <c r="O432" s="58"/>
      <c r="P432" s="58"/>
      <c r="Q432" s="58"/>
      <c r="R432" s="58"/>
      <c r="S432" s="58"/>
      <c r="T432" s="58">
        <v>268371.53000000003</v>
      </c>
      <c r="U432"/>
    </row>
    <row r="433" spans="1:21">
      <c r="A433" s="105" t="s">
        <v>612</v>
      </c>
      <c r="B433" s="58"/>
      <c r="C433" s="58"/>
      <c r="D433" s="58"/>
      <c r="E433" s="58"/>
      <c r="F433" s="58"/>
      <c r="G433" s="58"/>
      <c r="H433" s="58"/>
      <c r="I433" s="58">
        <v>0</v>
      </c>
      <c r="J433" s="58">
        <v>0</v>
      </c>
      <c r="K433" s="58">
        <v>3731000</v>
      </c>
      <c r="L433" s="58">
        <v>0</v>
      </c>
      <c r="M433" s="58"/>
      <c r="N433" s="58">
        <v>0</v>
      </c>
      <c r="O433" s="58">
        <v>0</v>
      </c>
      <c r="P433" s="58">
        <v>0</v>
      </c>
      <c r="Q433" s="58">
        <v>0</v>
      </c>
      <c r="R433" s="58">
        <v>0</v>
      </c>
      <c r="S433" s="58"/>
      <c r="T433" s="58">
        <v>3731000</v>
      </c>
      <c r="U433"/>
    </row>
    <row r="434" spans="1:21">
      <c r="A434" s="104" t="s">
        <v>276</v>
      </c>
      <c r="B434" s="58"/>
      <c r="C434" s="58"/>
      <c r="D434" s="58"/>
      <c r="E434" s="58"/>
      <c r="F434" s="58"/>
      <c r="G434" s="58"/>
      <c r="H434" s="58"/>
      <c r="I434" s="58"/>
      <c r="J434" s="58"/>
      <c r="K434" s="58"/>
      <c r="L434" s="58"/>
      <c r="M434" s="58"/>
      <c r="N434" s="58"/>
      <c r="O434" s="58"/>
      <c r="P434" s="58"/>
      <c r="Q434" s="58"/>
      <c r="R434" s="58"/>
      <c r="S434" s="58"/>
      <c r="T434" s="58"/>
      <c r="U434"/>
    </row>
    <row r="435" spans="1:21">
      <c r="A435" s="105" t="s">
        <v>622</v>
      </c>
      <c r="B435" s="58"/>
      <c r="C435" s="58"/>
      <c r="D435" s="58"/>
      <c r="E435" s="58"/>
      <c r="F435" s="58"/>
      <c r="G435" s="58"/>
      <c r="H435" s="58"/>
      <c r="I435" s="58"/>
      <c r="J435" s="58"/>
      <c r="K435" s="58">
        <v>10000000</v>
      </c>
      <c r="L435" s="58">
        <v>9565445</v>
      </c>
      <c r="M435" s="58">
        <v>9124585</v>
      </c>
      <c r="N435" s="58">
        <v>8677329</v>
      </c>
      <c r="O435" s="58">
        <v>8223584</v>
      </c>
      <c r="P435" s="58">
        <v>7763256</v>
      </c>
      <c r="Q435" s="58">
        <v>0</v>
      </c>
      <c r="R435" s="58"/>
      <c r="S435" s="58"/>
      <c r="T435" s="58">
        <v>10000000</v>
      </c>
      <c r="U435"/>
    </row>
    <row r="436" spans="1:21">
      <c r="A436" s="105" t="s">
        <v>614</v>
      </c>
      <c r="B436" s="58"/>
      <c r="C436" s="58"/>
      <c r="D436" s="58"/>
      <c r="E436" s="58"/>
      <c r="F436" s="58"/>
      <c r="G436" s="58"/>
      <c r="H436" s="58"/>
      <c r="I436" s="58"/>
      <c r="J436" s="58"/>
      <c r="K436" s="58">
        <v>0</v>
      </c>
      <c r="L436" s="58">
        <v>144220.16</v>
      </c>
      <c r="M436" s="58">
        <v>61564.97</v>
      </c>
      <c r="N436" s="58">
        <v>58448.34</v>
      </c>
      <c r="O436" s="58">
        <v>60436</v>
      </c>
      <c r="P436" s="58">
        <v>37461.089999999997</v>
      </c>
      <c r="Q436" s="58">
        <v>7181.87</v>
      </c>
      <c r="R436" s="58"/>
      <c r="S436" s="58"/>
      <c r="T436" s="58">
        <v>369312.42999999993</v>
      </c>
      <c r="U436"/>
    </row>
    <row r="437" spans="1:21">
      <c r="A437" s="105" t="s">
        <v>616</v>
      </c>
      <c r="B437" s="58"/>
      <c r="C437" s="58"/>
      <c r="D437" s="58"/>
      <c r="E437" s="58"/>
      <c r="F437" s="58"/>
      <c r="G437" s="58"/>
      <c r="H437" s="58"/>
      <c r="I437" s="58"/>
      <c r="J437" s="58"/>
      <c r="K437" s="58"/>
      <c r="L437" s="58">
        <v>434555.15</v>
      </c>
      <c r="M437" s="58">
        <v>447255.9</v>
      </c>
      <c r="N437" s="58">
        <v>447255.9</v>
      </c>
      <c r="O437" s="58">
        <v>453744.83</v>
      </c>
      <c r="P437" s="58">
        <v>460327.88</v>
      </c>
      <c r="Q437" s="58">
        <v>7763255.7300000004</v>
      </c>
      <c r="R437" s="58"/>
      <c r="S437" s="58"/>
      <c r="T437" s="58">
        <v>10006395.390000001</v>
      </c>
      <c r="U437"/>
    </row>
    <row r="438" spans="1:21">
      <c r="A438" s="105" t="s">
        <v>612</v>
      </c>
      <c r="B438" s="58"/>
      <c r="C438" s="58"/>
      <c r="D438" s="58"/>
      <c r="E438" s="58"/>
      <c r="F438" s="58"/>
      <c r="G438" s="58"/>
      <c r="H438" s="58"/>
      <c r="I438" s="58">
        <v>0</v>
      </c>
      <c r="J438" s="58">
        <v>0</v>
      </c>
      <c r="K438" s="58">
        <v>0</v>
      </c>
      <c r="L438" s="58">
        <v>0</v>
      </c>
      <c r="M438" s="58">
        <v>0</v>
      </c>
      <c r="N438" s="58">
        <v>0</v>
      </c>
      <c r="O438" s="58">
        <v>0</v>
      </c>
      <c r="P438" s="58">
        <v>0</v>
      </c>
      <c r="Q438" s="58">
        <v>0</v>
      </c>
      <c r="R438" s="58">
        <v>0</v>
      </c>
      <c r="S438" s="58">
        <v>0</v>
      </c>
      <c r="T438" s="58">
        <v>0</v>
      </c>
      <c r="U438"/>
    </row>
    <row r="439" spans="1:21">
      <c r="A439" s="104" t="s">
        <v>289</v>
      </c>
      <c r="B439" s="58"/>
      <c r="C439" s="58"/>
      <c r="D439" s="58"/>
      <c r="E439" s="58"/>
      <c r="F439" s="58"/>
      <c r="G439" s="58"/>
      <c r="H439" s="58"/>
      <c r="I439" s="58"/>
      <c r="J439" s="58"/>
      <c r="K439" s="58"/>
      <c r="L439" s="58"/>
      <c r="M439" s="58"/>
      <c r="N439" s="58"/>
      <c r="O439" s="58"/>
      <c r="P439" s="58"/>
      <c r="Q439" s="58"/>
      <c r="R439" s="58"/>
      <c r="S439" s="58"/>
      <c r="T439" s="58"/>
      <c r="U439"/>
    </row>
    <row r="440" spans="1:21">
      <c r="A440" s="105" t="s">
        <v>622</v>
      </c>
      <c r="B440" s="58"/>
      <c r="C440" s="58"/>
      <c r="D440" s="58"/>
      <c r="E440" s="58"/>
      <c r="F440" s="58"/>
      <c r="G440" s="58"/>
      <c r="H440" s="58"/>
      <c r="I440" s="58"/>
      <c r="J440" s="58"/>
      <c r="K440" s="58">
        <v>15028637</v>
      </c>
      <c r="L440" s="58">
        <v>0</v>
      </c>
      <c r="M440" s="58"/>
      <c r="N440" s="58"/>
      <c r="O440" s="58"/>
      <c r="P440" s="58"/>
      <c r="Q440" s="58"/>
      <c r="R440" s="58"/>
      <c r="S440" s="58"/>
      <c r="T440" s="58">
        <v>15028637</v>
      </c>
      <c r="U440"/>
    </row>
    <row r="441" spans="1:21">
      <c r="A441" s="105" t="s">
        <v>614</v>
      </c>
      <c r="B441" s="58"/>
      <c r="C441" s="58"/>
      <c r="D441" s="58"/>
      <c r="E441" s="58"/>
      <c r="F441" s="58"/>
      <c r="G441" s="58"/>
      <c r="H441" s="58"/>
      <c r="I441" s="58"/>
      <c r="J441" s="58"/>
      <c r="K441" s="58">
        <v>0</v>
      </c>
      <c r="L441" s="58">
        <v>505083.96</v>
      </c>
      <c r="M441" s="58"/>
      <c r="N441" s="58"/>
      <c r="O441" s="58"/>
      <c r="P441" s="58"/>
      <c r="Q441" s="58"/>
      <c r="R441" s="58"/>
      <c r="S441" s="58"/>
      <c r="T441" s="58">
        <v>505083.96</v>
      </c>
      <c r="U441"/>
    </row>
    <row r="442" spans="1:21">
      <c r="A442" s="105" t="s">
        <v>616</v>
      </c>
      <c r="B442" s="58"/>
      <c r="C442" s="58"/>
      <c r="D442" s="58"/>
      <c r="E442" s="58"/>
      <c r="F442" s="58"/>
      <c r="G442" s="58"/>
      <c r="H442" s="58"/>
      <c r="I442" s="58"/>
      <c r="J442" s="58"/>
      <c r="K442" s="58">
        <v>0</v>
      </c>
      <c r="L442" s="58">
        <v>480314.86</v>
      </c>
      <c r="M442" s="58"/>
      <c r="N442" s="58"/>
      <c r="O442" s="58"/>
      <c r="P442" s="58"/>
      <c r="Q442" s="58"/>
      <c r="R442" s="58"/>
      <c r="S442" s="58"/>
      <c r="T442" s="58">
        <v>480314.86</v>
      </c>
      <c r="U442"/>
    </row>
    <row r="443" spans="1:21">
      <c r="A443" s="105" t="s">
        <v>612</v>
      </c>
      <c r="B443" s="58"/>
      <c r="C443" s="58"/>
      <c r="D443" s="58"/>
      <c r="E443" s="58"/>
      <c r="F443" s="58"/>
      <c r="G443" s="58"/>
      <c r="H443" s="58"/>
      <c r="I443" s="58"/>
      <c r="J443" s="58">
        <v>0</v>
      </c>
      <c r="K443" s="58">
        <v>0</v>
      </c>
      <c r="L443" s="58">
        <v>14548000</v>
      </c>
      <c r="M443" s="58">
        <v>0</v>
      </c>
      <c r="N443" s="58">
        <v>0</v>
      </c>
      <c r="O443" s="58">
        <v>0</v>
      </c>
      <c r="P443" s="58">
        <v>0</v>
      </c>
      <c r="Q443" s="58">
        <v>0</v>
      </c>
      <c r="R443" s="58">
        <v>0</v>
      </c>
      <c r="S443" s="58"/>
      <c r="T443" s="58">
        <v>14548000</v>
      </c>
      <c r="U443"/>
    </row>
    <row r="444" spans="1:21">
      <c r="A444" s="104" t="s">
        <v>300</v>
      </c>
      <c r="B444" s="58"/>
      <c r="C444" s="58"/>
      <c r="D444" s="58"/>
      <c r="E444" s="58"/>
      <c r="F444" s="58"/>
      <c r="G444" s="58"/>
      <c r="H444" s="58"/>
      <c r="I444" s="58"/>
      <c r="J444" s="58"/>
      <c r="K444" s="58"/>
      <c r="L444" s="58"/>
      <c r="M444" s="58"/>
      <c r="N444" s="58"/>
      <c r="O444" s="58"/>
      <c r="P444" s="58"/>
      <c r="Q444" s="58"/>
      <c r="R444" s="58"/>
      <c r="S444" s="58"/>
      <c r="T444" s="58"/>
      <c r="U444"/>
    </row>
    <row r="445" spans="1:21">
      <c r="A445" s="105" t="s">
        <v>622</v>
      </c>
      <c r="B445" s="58"/>
      <c r="C445" s="58"/>
      <c r="D445" s="58"/>
      <c r="E445" s="58"/>
      <c r="F445" s="58"/>
      <c r="G445" s="58"/>
      <c r="H445" s="58"/>
      <c r="I445" s="58"/>
      <c r="J445" s="58"/>
      <c r="K445" s="58">
        <v>7230654</v>
      </c>
      <c r="L445" s="58">
        <v>0</v>
      </c>
      <c r="M445" s="58"/>
      <c r="N445" s="58"/>
      <c r="O445" s="58"/>
      <c r="P445" s="58"/>
      <c r="Q445" s="58"/>
      <c r="R445" s="58"/>
      <c r="S445" s="58"/>
      <c r="T445" s="58">
        <v>7230654</v>
      </c>
      <c r="U445"/>
    </row>
    <row r="446" spans="1:21">
      <c r="A446" s="105" t="s">
        <v>614</v>
      </c>
      <c r="B446" s="58"/>
      <c r="C446" s="58"/>
      <c r="D446" s="58"/>
      <c r="E446" s="58"/>
      <c r="F446" s="58"/>
      <c r="G446" s="58"/>
      <c r="H446" s="58"/>
      <c r="I446" s="58"/>
      <c r="J446" s="58"/>
      <c r="K446" s="58">
        <v>0</v>
      </c>
      <c r="L446" s="58">
        <v>241925.62</v>
      </c>
      <c r="M446" s="58"/>
      <c r="N446" s="58"/>
      <c r="O446" s="58"/>
      <c r="P446" s="58"/>
      <c r="Q446" s="58"/>
      <c r="R446" s="58"/>
      <c r="S446" s="58"/>
      <c r="T446" s="58">
        <v>241925.62</v>
      </c>
      <c r="U446"/>
    </row>
    <row r="447" spans="1:21">
      <c r="A447" s="105" t="s">
        <v>616</v>
      </c>
      <c r="B447" s="58"/>
      <c r="C447" s="58"/>
      <c r="D447" s="58"/>
      <c r="E447" s="58"/>
      <c r="F447" s="58"/>
      <c r="G447" s="58"/>
      <c r="H447" s="58"/>
      <c r="I447" s="58"/>
      <c r="J447" s="58"/>
      <c r="K447" s="58">
        <v>0</v>
      </c>
      <c r="L447" s="58">
        <v>504783.04</v>
      </c>
      <c r="M447" s="58"/>
      <c r="N447" s="58"/>
      <c r="O447" s="58"/>
      <c r="P447" s="58"/>
      <c r="Q447" s="58"/>
      <c r="R447" s="58"/>
      <c r="S447" s="58"/>
      <c r="T447" s="58">
        <v>504783.04</v>
      </c>
      <c r="U447"/>
    </row>
    <row r="448" spans="1:21">
      <c r="A448" s="105" t="s">
        <v>612</v>
      </c>
      <c r="B448" s="58"/>
      <c r="C448" s="58"/>
      <c r="D448" s="58"/>
      <c r="E448" s="58"/>
      <c r="F448" s="58"/>
      <c r="G448" s="58"/>
      <c r="H448" s="58"/>
      <c r="I448" s="58"/>
      <c r="J448" s="58">
        <v>0</v>
      </c>
      <c r="K448" s="58">
        <v>0</v>
      </c>
      <c r="L448" s="58">
        <v>6725870.4800000004</v>
      </c>
      <c r="M448" s="58">
        <v>0</v>
      </c>
      <c r="N448" s="58">
        <v>0</v>
      </c>
      <c r="O448" s="58">
        <v>0</v>
      </c>
      <c r="P448" s="58">
        <v>0</v>
      </c>
      <c r="Q448" s="58">
        <v>0</v>
      </c>
      <c r="R448" s="58">
        <v>0</v>
      </c>
      <c r="S448" s="58"/>
      <c r="T448" s="58">
        <v>6725870.4800000004</v>
      </c>
      <c r="U448"/>
    </row>
    <row r="449" spans="1:21">
      <c r="A449" s="104" t="s">
        <v>302</v>
      </c>
      <c r="B449" s="58"/>
      <c r="C449" s="58"/>
      <c r="D449" s="58"/>
      <c r="E449" s="58"/>
      <c r="F449" s="58"/>
      <c r="G449" s="58"/>
      <c r="H449" s="58"/>
      <c r="I449" s="58"/>
      <c r="J449" s="58"/>
      <c r="K449" s="58"/>
      <c r="L449" s="58"/>
      <c r="M449" s="58"/>
      <c r="N449" s="58"/>
      <c r="O449" s="58"/>
      <c r="P449" s="58"/>
      <c r="Q449" s="58"/>
      <c r="R449" s="58"/>
      <c r="S449" s="58"/>
      <c r="T449" s="58"/>
      <c r="U449"/>
    </row>
    <row r="450" spans="1:21">
      <c r="A450" s="105" t="s">
        <v>622</v>
      </c>
      <c r="B450" s="58"/>
      <c r="C450" s="58"/>
      <c r="D450" s="58"/>
      <c r="E450" s="58"/>
      <c r="F450" s="58"/>
      <c r="G450" s="58"/>
      <c r="H450" s="58"/>
      <c r="I450" s="58"/>
      <c r="J450" s="58"/>
      <c r="K450" s="58">
        <v>739366</v>
      </c>
      <c r="L450" s="58">
        <v>696258</v>
      </c>
      <c r="M450" s="58">
        <v>652220</v>
      </c>
      <c r="N450" s="58">
        <v>607232</v>
      </c>
      <c r="O450" s="58">
        <v>561273</v>
      </c>
      <c r="P450" s="58">
        <v>514324</v>
      </c>
      <c r="Q450" s="58">
        <v>466361</v>
      </c>
      <c r="R450" s="58">
        <v>417363</v>
      </c>
      <c r="S450" s="58">
        <v>367309</v>
      </c>
      <c r="T450" s="58">
        <v>739366</v>
      </c>
      <c r="U450"/>
    </row>
    <row r="451" spans="1:21">
      <c r="A451" s="105" t="s">
        <v>614</v>
      </c>
      <c r="B451" s="58"/>
      <c r="C451" s="58"/>
      <c r="D451" s="58"/>
      <c r="E451" s="58"/>
      <c r="F451" s="58"/>
      <c r="G451" s="58"/>
      <c r="H451" s="58"/>
      <c r="I451" s="58"/>
      <c r="J451" s="58"/>
      <c r="K451" s="58">
        <v>4280</v>
      </c>
      <c r="L451" s="58">
        <v>15478.03</v>
      </c>
      <c r="M451" s="58">
        <v>13598.09</v>
      </c>
      <c r="N451" s="58">
        <v>13598.09</v>
      </c>
      <c r="O451" s="58">
        <v>12627.59</v>
      </c>
      <c r="P451" s="58">
        <v>11636.15</v>
      </c>
      <c r="Q451" s="58">
        <v>10623.33</v>
      </c>
      <c r="R451" s="58">
        <v>9588.66</v>
      </c>
      <c r="S451" s="58">
        <v>8531.67</v>
      </c>
      <c r="T451" s="58">
        <v>99961.609999999986</v>
      </c>
      <c r="U451"/>
    </row>
    <row r="452" spans="1:21">
      <c r="A452" s="105" t="s">
        <v>616</v>
      </c>
      <c r="B452" s="58"/>
      <c r="C452" s="58"/>
      <c r="D452" s="58"/>
      <c r="E452" s="58"/>
      <c r="F452" s="58"/>
      <c r="G452" s="58"/>
      <c r="H452" s="58"/>
      <c r="I452" s="58"/>
      <c r="J452" s="58"/>
      <c r="K452" s="58">
        <v>10634.02</v>
      </c>
      <c r="L452" s="58">
        <v>43108.05</v>
      </c>
      <c r="M452" s="58">
        <v>44987.99</v>
      </c>
      <c r="N452" s="58">
        <v>44987.99</v>
      </c>
      <c r="O452" s="58">
        <v>45958.49</v>
      </c>
      <c r="P452" s="58">
        <v>46949.93</v>
      </c>
      <c r="Q452" s="58">
        <v>47962.75</v>
      </c>
      <c r="R452" s="58">
        <v>48997.42</v>
      </c>
      <c r="S452" s="58">
        <v>50054.41</v>
      </c>
      <c r="T452" s="58">
        <v>383641.04999999993</v>
      </c>
      <c r="U452"/>
    </row>
    <row r="453" spans="1:21">
      <c r="A453" s="105" t="s">
        <v>612</v>
      </c>
      <c r="B453" s="58"/>
      <c r="C453" s="58"/>
      <c r="D453" s="58"/>
      <c r="E453" s="58"/>
      <c r="F453" s="58"/>
      <c r="G453" s="58"/>
      <c r="H453" s="58"/>
      <c r="I453" s="58"/>
      <c r="J453" s="58">
        <v>0</v>
      </c>
      <c r="K453" s="58">
        <v>0</v>
      </c>
      <c r="L453" s="58">
        <v>0</v>
      </c>
      <c r="M453" s="58">
        <v>0</v>
      </c>
      <c r="N453" s="58">
        <v>0</v>
      </c>
      <c r="O453" s="58">
        <v>0</v>
      </c>
      <c r="P453" s="58">
        <v>0</v>
      </c>
      <c r="Q453" s="58">
        <v>0</v>
      </c>
      <c r="R453" s="58">
        <v>0</v>
      </c>
      <c r="S453" s="58">
        <v>0</v>
      </c>
      <c r="T453" s="58">
        <v>0</v>
      </c>
      <c r="U453"/>
    </row>
    <row r="454" spans="1:21">
      <c r="A454" s="104" t="s">
        <v>306</v>
      </c>
      <c r="B454" s="58"/>
      <c r="C454" s="58"/>
      <c r="D454" s="58"/>
      <c r="E454" s="58"/>
      <c r="F454" s="58"/>
      <c r="G454" s="58"/>
      <c r="H454" s="58"/>
      <c r="I454" s="58"/>
      <c r="J454" s="58"/>
      <c r="K454" s="58"/>
      <c r="L454" s="58"/>
      <c r="M454" s="58"/>
      <c r="N454" s="58"/>
      <c r="O454" s="58"/>
      <c r="P454" s="58"/>
      <c r="Q454" s="58"/>
      <c r="R454" s="58"/>
      <c r="S454" s="58"/>
      <c r="T454" s="58"/>
      <c r="U454"/>
    </row>
    <row r="455" spans="1:21">
      <c r="A455" s="105" t="s">
        <v>622</v>
      </c>
      <c r="B455" s="58"/>
      <c r="C455" s="58"/>
      <c r="D455" s="58"/>
      <c r="E455" s="58"/>
      <c r="F455" s="58"/>
      <c r="G455" s="58"/>
      <c r="H455" s="58"/>
      <c r="I455" s="58"/>
      <c r="J455" s="58"/>
      <c r="K455" s="58">
        <v>10354303</v>
      </c>
      <c r="L455" s="58">
        <v>9874468</v>
      </c>
      <c r="M455" s="58">
        <v>0</v>
      </c>
      <c r="N455" s="58"/>
      <c r="O455" s="58"/>
      <c r="P455" s="58"/>
      <c r="Q455" s="58"/>
      <c r="R455" s="58"/>
      <c r="S455" s="58"/>
      <c r="T455" s="58">
        <v>10354303</v>
      </c>
      <c r="U455"/>
    </row>
    <row r="456" spans="1:21">
      <c r="A456" s="105" t="s">
        <v>614</v>
      </c>
      <c r="B456" s="58"/>
      <c r="C456" s="58"/>
      <c r="D456" s="58"/>
      <c r="E456" s="58"/>
      <c r="F456" s="58"/>
      <c r="G456" s="58"/>
      <c r="H456" s="58"/>
      <c r="I456" s="58"/>
      <c r="J456" s="58"/>
      <c r="K456" s="58">
        <v>0</v>
      </c>
      <c r="L456" s="58">
        <v>348537.34</v>
      </c>
      <c r="M456" s="58">
        <v>223283.24</v>
      </c>
      <c r="N456" s="58"/>
      <c r="O456" s="58"/>
      <c r="P456" s="58"/>
      <c r="Q456" s="58"/>
      <c r="R456" s="58"/>
      <c r="S456" s="58"/>
      <c r="T456" s="58">
        <v>571820.58000000007</v>
      </c>
      <c r="U456"/>
    </row>
    <row r="457" spans="1:21">
      <c r="A457" s="105" t="s">
        <v>616</v>
      </c>
      <c r="B457" s="58"/>
      <c r="C457" s="58"/>
      <c r="D457" s="58"/>
      <c r="E457" s="58"/>
      <c r="F457" s="58"/>
      <c r="G457" s="58"/>
      <c r="H457" s="58"/>
      <c r="I457" s="58"/>
      <c r="J457" s="58"/>
      <c r="K457" s="58">
        <v>0</v>
      </c>
      <c r="L457" s="58">
        <v>479835</v>
      </c>
      <c r="M457" s="58">
        <v>0</v>
      </c>
      <c r="N457" s="58"/>
      <c r="O457" s="58"/>
      <c r="P457" s="58"/>
      <c r="Q457" s="58"/>
      <c r="R457" s="58"/>
      <c r="S457" s="58"/>
      <c r="T457" s="58">
        <v>479835</v>
      </c>
      <c r="U457"/>
    </row>
    <row r="458" spans="1:21">
      <c r="A458" s="105" t="s">
        <v>612</v>
      </c>
      <c r="B458" s="58"/>
      <c r="C458" s="58"/>
      <c r="D458" s="58"/>
      <c r="E458" s="58"/>
      <c r="F458" s="58"/>
      <c r="G458" s="58"/>
      <c r="H458" s="58"/>
      <c r="I458" s="58"/>
      <c r="J458" s="58">
        <v>0</v>
      </c>
      <c r="K458" s="58">
        <v>0</v>
      </c>
      <c r="L458" s="58">
        <v>0</v>
      </c>
      <c r="M458" s="58">
        <v>9874000</v>
      </c>
      <c r="N458" s="58">
        <v>0</v>
      </c>
      <c r="O458" s="58">
        <v>0</v>
      </c>
      <c r="P458" s="58">
        <v>0</v>
      </c>
      <c r="Q458" s="58">
        <v>0</v>
      </c>
      <c r="R458" s="58">
        <v>0</v>
      </c>
      <c r="S458" s="58"/>
      <c r="T458" s="58">
        <v>9874000</v>
      </c>
      <c r="U458"/>
    </row>
    <row r="459" spans="1:21">
      <c r="A459" s="104" t="s">
        <v>311</v>
      </c>
      <c r="B459" s="58"/>
      <c r="C459" s="58"/>
      <c r="D459" s="58"/>
      <c r="E459" s="58"/>
      <c r="F459" s="58"/>
      <c r="G459" s="58"/>
      <c r="H459" s="58"/>
      <c r="I459" s="58"/>
      <c r="J459" s="58"/>
      <c r="K459" s="58"/>
      <c r="L459" s="58"/>
      <c r="M459" s="58"/>
      <c r="N459" s="58"/>
      <c r="O459" s="58"/>
      <c r="P459" s="58"/>
      <c r="Q459" s="58"/>
      <c r="R459" s="58"/>
      <c r="S459" s="58"/>
      <c r="T459" s="58"/>
      <c r="U459"/>
    </row>
    <row r="460" spans="1:21">
      <c r="A460" s="105" t="s">
        <v>622</v>
      </c>
      <c r="B460" s="58"/>
      <c r="C460" s="58"/>
      <c r="D460" s="58"/>
      <c r="E460" s="58"/>
      <c r="F460" s="58"/>
      <c r="G460" s="58"/>
      <c r="H460" s="58"/>
      <c r="I460" s="58"/>
      <c r="J460" s="58"/>
      <c r="K460" s="58">
        <v>10354303</v>
      </c>
      <c r="L460" s="58">
        <v>0</v>
      </c>
      <c r="M460" s="58"/>
      <c r="N460" s="58"/>
      <c r="O460" s="58"/>
      <c r="P460" s="58"/>
      <c r="Q460" s="58"/>
      <c r="R460" s="58"/>
      <c r="S460" s="58"/>
      <c r="T460" s="58">
        <v>10354303</v>
      </c>
      <c r="U460"/>
    </row>
    <row r="461" spans="1:21">
      <c r="A461" s="105" t="s">
        <v>614</v>
      </c>
      <c r="B461" s="58"/>
      <c r="C461" s="58"/>
      <c r="D461" s="58"/>
      <c r="E461" s="58"/>
      <c r="F461" s="58"/>
      <c r="G461" s="58"/>
      <c r="H461" s="58"/>
      <c r="I461" s="58"/>
      <c r="J461" s="58"/>
      <c r="K461" s="58">
        <v>0</v>
      </c>
      <c r="L461" s="58">
        <v>523855.83</v>
      </c>
      <c r="M461" s="58"/>
      <c r="N461" s="58"/>
      <c r="O461" s="58"/>
      <c r="P461" s="58"/>
      <c r="Q461" s="58"/>
      <c r="R461" s="58"/>
      <c r="S461" s="58"/>
      <c r="T461" s="58">
        <v>523855.83</v>
      </c>
      <c r="U461"/>
    </row>
    <row r="462" spans="1:21">
      <c r="A462" s="105" t="s">
        <v>616</v>
      </c>
      <c r="B462" s="58"/>
      <c r="C462" s="58"/>
      <c r="D462" s="58"/>
      <c r="E462" s="58"/>
      <c r="F462" s="58"/>
      <c r="G462" s="58"/>
      <c r="H462" s="58"/>
      <c r="I462" s="58"/>
      <c r="J462" s="58"/>
      <c r="K462" s="58">
        <v>0</v>
      </c>
      <c r="L462" s="58">
        <v>400702.64</v>
      </c>
      <c r="M462" s="58"/>
      <c r="N462" s="58"/>
      <c r="O462" s="58"/>
      <c r="P462" s="58"/>
      <c r="Q462" s="58"/>
      <c r="R462" s="58"/>
      <c r="S462" s="58"/>
      <c r="T462" s="58">
        <v>400702.64</v>
      </c>
      <c r="U462"/>
    </row>
    <row r="463" spans="1:21">
      <c r="A463" s="105" t="s">
        <v>612</v>
      </c>
      <c r="B463" s="58"/>
      <c r="C463" s="58"/>
      <c r="D463" s="58"/>
      <c r="E463" s="58"/>
      <c r="F463" s="58"/>
      <c r="G463" s="58"/>
      <c r="H463" s="58"/>
      <c r="I463" s="58"/>
      <c r="J463" s="58">
        <v>0</v>
      </c>
      <c r="K463" s="58">
        <v>0</v>
      </c>
      <c r="L463" s="58">
        <v>9954000</v>
      </c>
      <c r="M463" s="58">
        <v>0</v>
      </c>
      <c r="N463" s="58">
        <v>0</v>
      </c>
      <c r="O463" s="58">
        <v>0</v>
      </c>
      <c r="P463" s="58">
        <v>0</v>
      </c>
      <c r="Q463" s="58">
        <v>0</v>
      </c>
      <c r="R463" s="58">
        <v>0</v>
      </c>
      <c r="S463" s="58"/>
      <c r="T463" s="58">
        <v>9954000</v>
      </c>
      <c r="U463"/>
    </row>
    <row r="464" spans="1:21">
      <c r="A464" s="104" t="s">
        <v>317</v>
      </c>
      <c r="B464" s="58"/>
      <c r="C464" s="58"/>
      <c r="D464" s="58"/>
      <c r="E464" s="58"/>
      <c r="F464" s="58"/>
      <c r="G464" s="58"/>
      <c r="H464" s="58"/>
      <c r="I464" s="58"/>
      <c r="J464" s="58"/>
      <c r="K464" s="58"/>
      <c r="L464" s="58"/>
      <c r="M464" s="58"/>
      <c r="N464" s="58"/>
      <c r="O464" s="58"/>
      <c r="P464" s="58"/>
      <c r="Q464" s="58"/>
      <c r="R464" s="58"/>
      <c r="S464" s="58"/>
      <c r="T464" s="58"/>
      <c r="U464"/>
    </row>
    <row r="465" spans="1:21">
      <c r="A465" s="105" t="s">
        <v>622</v>
      </c>
      <c r="B465" s="58"/>
      <c r="C465" s="58"/>
      <c r="D465" s="58"/>
      <c r="E465" s="58"/>
      <c r="F465" s="58"/>
      <c r="G465" s="58"/>
      <c r="H465" s="58"/>
      <c r="I465" s="58"/>
      <c r="J465" s="58"/>
      <c r="K465" s="58"/>
      <c r="L465" s="58">
        <v>12864339</v>
      </c>
      <c r="M465" s="58">
        <v>12594799</v>
      </c>
      <c r="N465" s="58">
        <v>12311783</v>
      </c>
      <c r="O465" s="58">
        <v>0</v>
      </c>
      <c r="P465" s="58"/>
      <c r="Q465" s="58"/>
      <c r="R465" s="58"/>
      <c r="S465" s="58"/>
      <c r="T465" s="58">
        <v>12864339</v>
      </c>
      <c r="U465"/>
    </row>
    <row r="466" spans="1:21">
      <c r="A466" s="105" t="s">
        <v>614</v>
      </c>
      <c r="B466" s="58"/>
      <c r="C466" s="58"/>
      <c r="D466" s="58"/>
      <c r="E466" s="58"/>
      <c r="F466" s="58"/>
      <c r="G466" s="58"/>
      <c r="H466" s="58"/>
      <c r="I466" s="58"/>
      <c r="J466" s="58"/>
      <c r="K466" s="58"/>
      <c r="L466" s="58">
        <v>0</v>
      </c>
      <c r="M466" s="58">
        <v>121589.16</v>
      </c>
      <c r="N466" s="58">
        <v>113012.08</v>
      </c>
      <c r="O466" s="58">
        <v>126226.86</v>
      </c>
      <c r="P466" s="58"/>
      <c r="Q466" s="58"/>
      <c r="R466" s="58"/>
      <c r="S466" s="58"/>
      <c r="T466" s="58">
        <v>360828.1</v>
      </c>
      <c r="U466"/>
    </row>
    <row r="467" spans="1:21">
      <c r="A467" s="105" t="s">
        <v>616</v>
      </c>
      <c r="B467" s="58"/>
      <c r="C467" s="58"/>
      <c r="D467" s="58"/>
      <c r="E467" s="58"/>
      <c r="F467" s="58"/>
      <c r="G467" s="58"/>
      <c r="H467" s="58"/>
      <c r="I467" s="58"/>
      <c r="J467" s="58"/>
      <c r="K467" s="58"/>
      <c r="L467" s="58">
        <v>0</v>
      </c>
      <c r="M467" s="58">
        <v>283016.48</v>
      </c>
      <c r="N467" s="58">
        <v>238016.48</v>
      </c>
      <c r="O467" s="58">
        <v>297167.3</v>
      </c>
      <c r="P467" s="58"/>
      <c r="Q467" s="58"/>
      <c r="R467" s="58"/>
      <c r="S467" s="58"/>
      <c r="T467" s="58">
        <v>818200.26</v>
      </c>
      <c r="U467"/>
    </row>
    <row r="468" spans="1:21">
      <c r="A468" s="105" t="s">
        <v>612</v>
      </c>
      <c r="B468" s="58"/>
      <c r="C468" s="58"/>
      <c r="D468" s="58"/>
      <c r="E468" s="58"/>
      <c r="F468" s="58"/>
      <c r="G468" s="58"/>
      <c r="H468" s="58"/>
      <c r="I468" s="58"/>
      <c r="J468" s="58"/>
      <c r="K468" s="58">
        <v>0</v>
      </c>
      <c r="L468" s="58">
        <v>0</v>
      </c>
      <c r="M468" s="58">
        <v>0</v>
      </c>
      <c r="N468" s="58">
        <v>0</v>
      </c>
      <c r="O468" s="58">
        <v>12014000</v>
      </c>
      <c r="P468" s="58">
        <v>0</v>
      </c>
      <c r="Q468" s="58">
        <v>0</v>
      </c>
      <c r="R468" s="58">
        <v>0</v>
      </c>
      <c r="S468" s="58"/>
      <c r="T468" s="58">
        <v>12014000</v>
      </c>
      <c r="U468"/>
    </row>
    <row r="469" spans="1:21">
      <c r="A469" s="104" t="s">
        <v>284</v>
      </c>
      <c r="B469" s="58"/>
      <c r="C469" s="58"/>
      <c r="D469" s="58"/>
      <c r="E469" s="58"/>
      <c r="F469" s="58"/>
      <c r="G469" s="58"/>
      <c r="H469" s="58"/>
      <c r="I469" s="58"/>
      <c r="J469" s="58"/>
      <c r="K469" s="58"/>
      <c r="L469" s="58"/>
      <c r="M469" s="58"/>
      <c r="N469" s="58"/>
      <c r="O469" s="58"/>
      <c r="P469" s="58"/>
      <c r="Q469" s="58"/>
      <c r="R469" s="58"/>
      <c r="S469" s="58"/>
      <c r="T469" s="58"/>
      <c r="U469"/>
    </row>
    <row r="470" spans="1:21">
      <c r="A470" s="105" t="s">
        <v>622</v>
      </c>
      <c r="B470" s="58"/>
      <c r="C470" s="58"/>
      <c r="D470" s="58"/>
      <c r="E470" s="58"/>
      <c r="F470" s="58"/>
      <c r="G470" s="58"/>
      <c r="H470" s="58"/>
      <c r="I470" s="58"/>
      <c r="J470" s="58"/>
      <c r="K470" s="58">
        <v>4475856</v>
      </c>
      <c r="L470" s="58">
        <v>4382076</v>
      </c>
      <c r="M470" s="58">
        <v>4283607</v>
      </c>
      <c r="N470" s="58">
        <v>4180214</v>
      </c>
      <c r="O470" s="58">
        <v>0</v>
      </c>
      <c r="P470" s="58"/>
      <c r="Q470" s="58"/>
      <c r="R470" s="58"/>
      <c r="S470" s="58"/>
      <c r="T470" s="58">
        <v>4475856</v>
      </c>
      <c r="U470"/>
    </row>
    <row r="471" spans="1:21">
      <c r="A471" s="105" t="s">
        <v>614</v>
      </c>
      <c r="B471" s="58"/>
      <c r="C471" s="58"/>
      <c r="D471" s="58"/>
      <c r="E471" s="58"/>
      <c r="F471" s="58"/>
      <c r="G471" s="58"/>
      <c r="H471" s="58"/>
      <c r="I471" s="58"/>
      <c r="J471" s="58"/>
      <c r="K471" s="58">
        <v>0</v>
      </c>
      <c r="L471" s="58">
        <v>181067.03</v>
      </c>
      <c r="M471" s="58">
        <v>173764.5</v>
      </c>
      <c r="N471" s="58">
        <v>173764.5</v>
      </c>
      <c r="O471" s="58">
        <v>169107.07</v>
      </c>
      <c r="P471" s="58"/>
      <c r="Q471" s="58"/>
      <c r="R471" s="58"/>
      <c r="S471" s="58"/>
      <c r="T471" s="58">
        <v>697703.10000000009</v>
      </c>
      <c r="U471"/>
    </row>
    <row r="472" spans="1:21">
      <c r="A472" s="105" t="s">
        <v>616</v>
      </c>
      <c r="B472" s="58"/>
      <c r="C472" s="58"/>
      <c r="D472" s="58"/>
      <c r="E472" s="58"/>
      <c r="F472" s="58"/>
      <c r="G472" s="58"/>
      <c r="H472" s="58"/>
      <c r="I472" s="58"/>
      <c r="J472" s="58"/>
      <c r="K472" s="58">
        <v>0</v>
      </c>
      <c r="L472" s="58">
        <v>93780.19</v>
      </c>
      <c r="M472" s="58">
        <v>103392.66</v>
      </c>
      <c r="N472" s="58">
        <v>103392.66</v>
      </c>
      <c r="O472" s="58">
        <v>108562.29</v>
      </c>
      <c r="P472" s="58"/>
      <c r="Q472" s="58"/>
      <c r="R472" s="58"/>
      <c r="S472" s="58"/>
      <c r="T472" s="58">
        <v>409127.8</v>
      </c>
      <c r="U472"/>
    </row>
    <row r="473" spans="1:21">
      <c r="A473" s="105" t="s">
        <v>612</v>
      </c>
      <c r="B473" s="58"/>
      <c r="C473" s="58"/>
      <c r="D473" s="58"/>
      <c r="E473" s="58"/>
      <c r="F473" s="58"/>
      <c r="G473" s="58"/>
      <c r="H473" s="58"/>
      <c r="I473" s="58"/>
      <c r="J473" s="58">
        <v>0</v>
      </c>
      <c r="K473" s="58">
        <v>0</v>
      </c>
      <c r="L473" s="58">
        <v>0</v>
      </c>
      <c r="M473" s="58">
        <v>0</v>
      </c>
      <c r="N473" s="58">
        <v>0</v>
      </c>
      <c r="O473" s="58">
        <v>4072000</v>
      </c>
      <c r="P473" s="58">
        <v>0</v>
      </c>
      <c r="Q473" s="58">
        <v>0</v>
      </c>
      <c r="R473" s="58">
        <v>0</v>
      </c>
      <c r="S473" s="58"/>
      <c r="T473" s="58">
        <v>4072000</v>
      </c>
      <c r="U473"/>
    </row>
    <row r="474" spans="1:21">
      <c r="A474" s="104" t="s">
        <v>313</v>
      </c>
      <c r="B474" s="58"/>
      <c r="C474" s="58"/>
      <c r="D474" s="58"/>
      <c r="E474" s="58"/>
      <c r="F474" s="58"/>
      <c r="G474" s="58"/>
      <c r="H474" s="58"/>
      <c r="I474" s="58"/>
      <c r="J474" s="58"/>
      <c r="K474" s="58"/>
      <c r="L474" s="58"/>
      <c r="M474" s="58"/>
      <c r="N474" s="58"/>
      <c r="O474" s="58"/>
      <c r="P474" s="58"/>
      <c r="Q474" s="58"/>
      <c r="R474" s="58"/>
      <c r="S474" s="58"/>
      <c r="T474" s="58"/>
      <c r="U474"/>
    </row>
    <row r="475" spans="1:21">
      <c r="A475" s="105" t="s">
        <v>622</v>
      </c>
      <c r="B475" s="58"/>
      <c r="C475" s="58"/>
      <c r="D475" s="58"/>
      <c r="E475" s="58"/>
      <c r="F475" s="58"/>
      <c r="G475" s="58"/>
      <c r="H475" s="58"/>
      <c r="I475" s="58"/>
      <c r="J475" s="58"/>
      <c r="K475" s="58">
        <v>2572189</v>
      </c>
      <c r="L475" s="58">
        <v>2494399</v>
      </c>
      <c r="M475" s="58">
        <v>2412720</v>
      </c>
      <c r="N475" s="58">
        <v>2326957</v>
      </c>
      <c r="O475" s="58">
        <v>2236906</v>
      </c>
      <c r="P475" s="58">
        <v>2142352</v>
      </c>
      <c r="Q475" s="58">
        <v>2043071</v>
      </c>
      <c r="R475" s="58">
        <v>1938825</v>
      </c>
      <c r="S475" s="58">
        <v>1829367</v>
      </c>
      <c r="T475" s="58">
        <v>2572189</v>
      </c>
      <c r="U475"/>
    </row>
    <row r="476" spans="1:21">
      <c r="A476" s="105" t="s">
        <v>614</v>
      </c>
      <c r="B476" s="58"/>
      <c r="C476" s="58"/>
      <c r="D476" s="58"/>
      <c r="E476" s="58"/>
      <c r="F476" s="58"/>
      <c r="G476" s="58"/>
      <c r="H476" s="58"/>
      <c r="I476" s="58"/>
      <c r="J476" s="58"/>
      <c r="K476" s="58">
        <v>0</v>
      </c>
      <c r="L476" s="58">
        <v>112922.67</v>
      </c>
      <c r="M476" s="58">
        <v>105921.81</v>
      </c>
      <c r="N476" s="58">
        <v>105921.81</v>
      </c>
      <c r="O476" s="58">
        <v>102156.67</v>
      </c>
      <c r="P476" s="58">
        <v>98203.25</v>
      </c>
      <c r="Q476" s="58">
        <v>94309.92</v>
      </c>
      <c r="R476" s="58">
        <v>89693.67</v>
      </c>
      <c r="S476" s="58">
        <v>85117.09</v>
      </c>
      <c r="T476" s="58">
        <v>794246.89</v>
      </c>
      <c r="U476"/>
    </row>
    <row r="477" spans="1:21">
      <c r="A477" s="105" t="s">
        <v>616</v>
      </c>
      <c r="B477" s="58"/>
      <c r="C477" s="58"/>
      <c r="D477" s="58"/>
      <c r="E477" s="58"/>
      <c r="F477" s="58"/>
      <c r="G477" s="58"/>
      <c r="H477" s="58"/>
      <c r="I477" s="58"/>
      <c r="J477" s="58"/>
      <c r="K477" s="58">
        <v>0</v>
      </c>
      <c r="L477" s="58">
        <v>77789.64</v>
      </c>
      <c r="M477" s="58">
        <v>85783.08</v>
      </c>
      <c r="N477" s="58">
        <v>85763.08</v>
      </c>
      <c r="O477" s="58">
        <v>90051.24</v>
      </c>
      <c r="P477" s="58">
        <v>94553.8</v>
      </c>
      <c r="Q477" s="58">
        <v>99281.49</v>
      </c>
      <c r="R477" s="58">
        <v>104245.56</v>
      </c>
      <c r="S477" s="58">
        <v>109457.84</v>
      </c>
      <c r="T477" s="58">
        <v>746925.72999999986</v>
      </c>
      <c r="U477"/>
    </row>
    <row r="478" spans="1:21">
      <c r="A478" s="105" t="s">
        <v>612</v>
      </c>
      <c r="B478" s="58"/>
      <c r="C478" s="58"/>
      <c r="D478" s="58"/>
      <c r="E478" s="58"/>
      <c r="F478" s="58"/>
      <c r="G478" s="58"/>
      <c r="H478" s="58"/>
      <c r="I478" s="58"/>
      <c r="J478" s="58">
        <v>0</v>
      </c>
      <c r="K478" s="58">
        <v>0</v>
      </c>
      <c r="L478" s="58">
        <v>0</v>
      </c>
      <c r="M478" s="58">
        <v>0</v>
      </c>
      <c r="N478" s="58">
        <v>0</v>
      </c>
      <c r="O478" s="58">
        <v>0</v>
      </c>
      <c r="P478" s="58">
        <v>0</v>
      </c>
      <c r="Q478" s="58">
        <v>0</v>
      </c>
      <c r="R478" s="58">
        <v>0</v>
      </c>
      <c r="S478" s="58">
        <v>0</v>
      </c>
      <c r="T478" s="58">
        <v>0</v>
      </c>
      <c r="U478"/>
    </row>
    <row r="479" spans="1:21">
      <c r="A479" s="104" t="s">
        <v>304</v>
      </c>
      <c r="B479" s="58"/>
      <c r="C479" s="58"/>
      <c r="D479" s="58"/>
      <c r="E479" s="58"/>
      <c r="F479" s="58"/>
      <c r="G479" s="58"/>
      <c r="H479" s="58"/>
      <c r="I479" s="58"/>
      <c r="J479" s="58"/>
      <c r="K479" s="58"/>
      <c r="L479" s="58"/>
      <c r="M479" s="58"/>
      <c r="N479" s="58"/>
      <c r="O479" s="58"/>
      <c r="P479" s="58"/>
      <c r="Q479" s="58"/>
      <c r="R479" s="58"/>
      <c r="S479" s="58"/>
      <c r="T479" s="58"/>
      <c r="U479"/>
    </row>
    <row r="480" spans="1:21">
      <c r="A480" s="105" t="s">
        <v>622</v>
      </c>
      <c r="B480" s="58"/>
      <c r="C480" s="58"/>
      <c r="D480" s="58"/>
      <c r="E480" s="58"/>
      <c r="F480" s="58"/>
      <c r="G480" s="58"/>
      <c r="H480" s="58"/>
      <c r="I480" s="58"/>
      <c r="J480" s="58"/>
      <c r="K480" s="58">
        <v>1790342</v>
      </c>
      <c r="L480" s="58">
        <v>1736198</v>
      </c>
      <c r="M480" s="58">
        <v>1679346</v>
      </c>
      <c r="N480" s="58">
        <v>1619652</v>
      </c>
      <c r="O480" s="58">
        <v>1556972</v>
      </c>
      <c r="P480" s="58">
        <v>1491159</v>
      </c>
      <c r="Q480" s="58">
        <v>1422056</v>
      </c>
      <c r="R480" s="58">
        <v>1349497</v>
      </c>
      <c r="S480" s="58">
        <v>1273310</v>
      </c>
      <c r="T480" s="58">
        <v>1790342</v>
      </c>
      <c r="U480"/>
    </row>
    <row r="481" spans="1:21">
      <c r="A481" s="105" t="s">
        <v>614</v>
      </c>
      <c r="B481" s="58"/>
      <c r="C481" s="58"/>
      <c r="D481" s="58"/>
      <c r="E481" s="58"/>
      <c r="F481" s="58"/>
      <c r="G481" s="58"/>
      <c r="H481" s="58"/>
      <c r="I481" s="58"/>
      <c r="J481" s="58"/>
      <c r="K481" s="58">
        <v>19595.79</v>
      </c>
      <c r="L481" s="58">
        <v>76005.89</v>
      </c>
      <c r="M481" s="58">
        <v>73072.25</v>
      </c>
      <c r="N481" s="58">
        <v>73072.25</v>
      </c>
      <c r="O481" s="58">
        <v>70418.91</v>
      </c>
      <c r="P481" s="58">
        <v>67632.89</v>
      </c>
      <c r="Q481" s="58">
        <v>64886.94</v>
      </c>
      <c r="R481" s="58">
        <v>61636.02</v>
      </c>
      <c r="S481" s="58">
        <v>58410.91</v>
      </c>
      <c r="T481" s="58">
        <v>564731.85</v>
      </c>
      <c r="U481"/>
    </row>
    <row r="482" spans="1:21">
      <c r="A482" s="105" t="s">
        <v>616</v>
      </c>
      <c r="B482" s="58"/>
      <c r="C482" s="58"/>
      <c r="D482" s="58"/>
      <c r="E482" s="58"/>
      <c r="F482" s="58"/>
      <c r="G482" s="58"/>
      <c r="H482" s="58"/>
      <c r="I482" s="58"/>
      <c r="J482" s="58"/>
      <c r="K482" s="58">
        <v>0</v>
      </c>
      <c r="L482" s="58">
        <v>54144.59</v>
      </c>
      <c r="M482" s="58">
        <v>59694.41</v>
      </c>
      <c r="N482" s="58">
        <v>59694.41</v>
      </c>
      <c r="O482" s="58">
        <v>62679.13</v>
      </c>
      <c r="P482" s="58">
        <v>65813.09</v>
      </c>
      <c r="Q482" s="58">
        <v>69103.740000000005</v>
      </c>
      <c r="R482" s="58">
        <v>72558.929999999993</v>
      </c>
      <c r="S482" s="58">
        <v>76186.87</v>
      </c>
      <c r="T482" s="58">
        <v>519875.17</v>
      </c>
      <c r="U482"/>
    </row>
    <row r="483" spans="1:21">
      <c r="A483" s="105" t="s">
        <v>612</v>
      </c>
      <c r="B483" s="58"/>
      <c r="C483" s="58"/>
      <c r="D483" s="58"/>
      <c r="E483" s="58"/>
      <c r="F483" s="58"/>
      <c r="G483" s="58"/>
      <c r="H483" s="58"/>
      <c r="I483" s="58"/>
      <c r="J483" s="58">
        <v>0</v>
      </c>
      <c r="K483" s="58">
        <v>0</v>
      </c>
      <c r="L483" s="58">
        <v>0</v>
      </c>
      <c r="M483" s="58">
        <v>0</v>
      </c>
      <c r="N483" s="58">
        <v>0</v>
      </c>
      <c r="O483" s="58">
        <v>0</v>
      </c>
      <c r="P483" s="58">
        <v>0</v>
      </c>
      <c r="Q483" s="58">
        <v>0</v>
      </c>
      <c r="R483" s="58">
        <v>0</v>
      </c>
      <c r="S483" s="58">
        <v>0</v>
      </c>
      <c r="T483" s="58">
        <v>0</v>
      </c>
      <c r="U483"/>
    </row>
    <row r="484" spans="1:21">
      <c r="A484" s="104" t="s">
        <v>288</v>
      </c>
      <c r="B484" s="58"/>
      <c r="C484" s="58"/>
      <c r="D484" s="58"/>
      <c r="E484" s="58"/>
      <c r="F484" s="58"/>
      <c r="G484" s="58"/>
      <c r="H484" s="58"/>
      <c r="I484" s="58"/>
      <c r="J484" s="58"/>
      <c r="K484" s="58"/>
      <c r="L484" s="58"/>
      <c r="M484" s="58"/>
      <c r="N484" s="58"/>
      <c r="O484" s="58"/>
      <c r="P484" s="58"/>
      <c r="Q484" s="58"/>
      <c r="R484" s="58"/>
      <c r="S484" s="58"/>
      <c r="T484" s="58"/>
      <c r="U484"/>
    </row>
    <row r="485" spans="1:21">
      <c r="A485" s="105" t="s">
        <v>622</v>
      </c>
      <c r="B485" s="58"/>
      <c r="C485" s="58"/>
      <c r="D485" s="58"/>
      <c r="E485" s="58"/>
      <c r="F485" s="58"/>
      <c r="G485" s="58"/>
      <c r="H485" s="58"/>
      <c r="I485" s="58"/>
      <c r="J485" s="58"/>
      <c r="K485" s="58">
        <v>3731491</v>
      </c>
      <c r="L485" s="58">
        <v>3653307</v>
      </c>
      <c r="M485" s="58">
        <v>3571214</v>
      </c>
      <c r="N485" s="58">
        <v>3485016</v>
      </c>
      <c r="O485" s="58">
        <v>0</v>
      </c>
      <c r="P485" s="58"/>
      <c r="Q485" s="58"/>
      <c r="R485" s="58"/>
      <c r="S485" s="58"/>
      <c r="T485" s="58">
        <v>3731491</v>
      </c>
      <c r="U485"/>
    </row>
    <row r="486" spans="1:21">
      <c r="A486" s="105" t="s">
        <v>614</v>
      </c>
      <c r="B486" s="58"/>
      <c r="C486" s="58"/>
      <c r="D486" s="58"/>
      <c r="E486" s="58"/>
      <c r="F486" s="58"/>
      <c r="G486" s="58"/>
      <c r="H486" s="58"/>
      <c r="I486" s="58"/>
      <c r="J486" s="58"/>
      <c r="K486" s="58">
        <v>0</v>
      </c>
      <c r="L486" s="58">
        <v>150954.35999999999</v>
      </c>
      <c r="M486" s="58">
        <v>144470.48000000001</v>
      </c>
      <c r="N486" s="58">
        <v>144470.48000000001</v>
      </c>
      <c r="O486" s="58">
        <v>140983.42000000001</v>
      </c>
      <c r="P486" s="58"/>
      <c r="Q486" s="58"/>
      <c r="R486" s="58"/>
      <c r="S486" s="58"/>
      <c r="T486" s="58">
        <v>580878.74</v>
      </c>
      <c r="U486"/>
    </row>
    <row r="487" spans="1:21">
      <c r="A487" s="105" t="s">
        <v>616</v>
      </c>
      <c r="B487" s="58"/>
      <c r="C487" s="58"/>
      <c r="D487" s="58"/>
      <c r="E487" s="58"/>
      <c r="F487" s="58"/>
      <c r="G487" s="58"/>
      <c r="H487" s="58"/>
      <c r="I487" s="58"/>
      <c r="J487" s="58"/>
      <c r="K487" s="58">
        <v>0</v>
      </c>
      <c r="L487" s="58">
        <v>78183.899999999994</v>
      </c>
      <c r="M487" s="58">
        <v>86197.75</v>
      </c>
      <c r="N487" s="58">
        <v>86197.75</v>
      </c>
      <c r="O487" s="58">
        <v>90507.64</v>
      </c>
      <c r="P487" s="58"/>
      <c r="Q487" s="58"/>
      <c r="R487" s="58"/>
      <c r="S487" s="58"/>
      <c r="T487" s="58">
        <v>341087.04</v>
      </c>
      <c r="U487"/>
    </row>
    <row r="488" spans="1:21">
      <c r="A488" s="105" t="s">
        <v>612</v>
      </c>
      <c r="B488" s="58"/>
      <c r="C488" s="58"/>
      <c r="D488" s="58"/>
      <c r="E488" s="58"/>
      <c r="F488" s="58"/>
      <c r="G488" s="58"/>
      <c r="H488" s="58"/>
      <c r="I488" s="58"/>
      <c r="J488" s="58">
        <v>0</v>
      </c>
      <c r="K488" s="58">
        <v>0</v>
      </c>
      <c r="L488" s="58">
        <v>0</v>
      </c>
      <c r="M488" s="58">
        <v>0</v>
      </c>
      <c r="N488" s="58">
        <v>0</v>
      </c>
      <c r="O488" s="58">
        <v>3395000</v>
      </c>
      <c r="P488" s="58">
        <v>0</v>
      </c>
      <c r="Q488" s="58">
        <v>0</v>
      </c>
      <c r="R488" s="58">
        <v>0</v>
      </c>
      <c r="S488" s="58"/>
      <c r="T488" s="58">
        <v>3395000</v>
      </c>
      <c r="U488"/>
    </row>
    <row r="489" spans="1:21">
      <c r="A489" s="104" t="s">
        <v>314</v>
      </c>
      <c r="B489" s="58"/>
      <c r="C489" s="58"/>
      <c r="D489" s="58"/>
      <c r="E489" s="58"/>
      <c r="F489" s="58"/>
      <c r="G489" s="58"/>
      <c r="H489" s="58"/>
      <c r="I489" s="58"/>
      <c r="J489" s="58"/>
      <c r="K489" s="58"/>
      <c r="L489" s="58"/>
      <c r="M489" s="58"/>
      <c r="N489" s="58"/>
      <c r="O489" s="58"/>
      <c r="P489" s="58"/>
      <c r="Q489" s="58"/>
      <c r="R489" s="58"/>
      <c r="S489" s="58"/>
      <c r="T489" s="58"/>
      <c r="U489"/>
    </row>
    <row r="490" spans="1:21">
      <c r="A490" s="105" t="s">
        <v>622</v>
      </c>
      <c r="B490" s="58"/>
      <c r="C490" s="58"/>
      <c r="D490" s="58"/>
      <c r="E490" s="58"/>
      <c r="F490" s="58"/>
      <c r="G490" s="58"/>
      <c r="H490" s="58"/>
      <c r="I490" s="58"/>
      <c r="J490" s="58"/>
      <c r="K490" s="58"/>
      <c r="L490" s="58">
        <v>7726972</v>
      </c>
      <c r="M490" s="58">
        <v>7346540</v>
      </c>
      <c r="N490" s="58">
        <v>6946484</v>
      </c>
      <c r="O490" s="58">
        <v>6525794</v>
      </c>
      <c r="P490" s="58">
        <v>6083404</v>
      </c>
      <c r="Q490" s="58">
        <v>5618195</v>
      </c>
      <c r="R490" s="58">
        <v>5128990</v>
      </c>
      <c r="S490" s="58">
        <v>4614552</v>
      </c>
      <c r="T490" s="58">
        <v>7726972</v>
      </c>
      <c r="U490"/>
    </row>
    <row r="491" spans="1:21">
      <c r="A491" s="105" t="s">
        <v>614</v>
      </c>
      <c r="B491" s="58"/>
      <c r="C491" s="58"/>
      <c r="D491" s="58"/>
      <c r="E491" s="58"/>
      <c r="F491" s="58"/>
      <c r="G491" s="58"/>
      <c r="H491" s="58"/>
      <c r="I491" s="58"/>
      <c r="J491" s="58"/>
      <c r="K491" s="58"/>
      <c r="L491" s="58">
        <v>133590.94</v>
      </c>
      <c r="M491" s="58">
        <v>80851.61</v>
      </c>
      <c r="N491" s="58">
        <v>78046.33</v>
      </c>
      <c r="O491" s="58">
        <v>75125.7</v>
      </c>
      <c r="P491" s="58">
        <v>57147.79</v>
      </c>
      <c r="Q491" s="58">
        <v>37179.9</v>
      </c>
      <c r="R491" s="58">
        <v>31639.81</v>
      </c>
      <c r="S491" s="58">
        <v>28784.7</v>
      </c>
      <c r="T491" s="58">
        <v>522366.78</v>
      </c>
      <c r="U491"/>
    </row>
    <row r="492" spans="1:21">
      <c r="A492" s="105" t="s">
        <v>616</v>
      </c>
      <c r="B492" s="58"/>
      <c r="C492" s="58"/>
      <c r="D492" s="58"/>
      <c r="E492" s="58"/>
      <c r="F492" s="58"/>
      <c r="G492" s="58"/>
      <c r="H492" s="58"/>
      <c r="I492" s="58"/>
      <c r="J492" s="58"/>
      <c r="K492" s="58"/>
      <c r="L492" s="58">
        <v>273027.62</v>
      </c>
      <c r="M492" s="58">
        <v>400055.48</v>
      </c>
      <c r="N492" s="58">
        <v>400055.48</v>
      </c>
      <c r="O492" s="58">
        <v>420690.63</v>
      </c>
      <c r="P492" s="58">
        <v>442390.14</v>
      </c>
      <c r="Q492" s="58">
        <v>465208.92</v>
      </c>
      <c r="R492" s="58">
        <v>489204.72</v>
      </c>
      <c r="S492" s="58">
        <v>514438.23</v>
      </c>
      <c r="T492" s="58">
        <v>3405071.22</v>
      </c>
      <c r="U492"/>
    </row>
    <row r="493" spans="1:21">
      <c r="A493" s="105" t="s">
        <v>612</v>
      </c>
      <c r="B493" s="58"/>
      <c r="C493" s="58"/>
      <c r="D493" s="58"/>
      <c r="E493" s="58"/>
      <c r="F493" s="58"/>
      <c r="G493" s="58">
        <v>0</v>
      </c>
      <c r="H493" s="58"/>
      <c r="I493" s="58"/>
      <c r="J493" s="58">
        <v>0</v>
      </c>
      <c r="K493" s="58">
        <v>0</v>
      </c>
      <c r="L493" s="58">
        <v>0</v>
      </c>
      <c r="M493" s="58">
        <v>0</v>
      </c>
      <c r="N493" s="58">
        <v>0</v>
      </c>
      <c r="O493" s="58">
        <v>0</v>
      </c>
      <c r="P493" s="58">
        <v>0</v>
      </c>
      <c r="Q493" s="58">
        <v>0</v>
      </c>
      <c r="R493" s="58">
        <v>0</v>
      </c>
      <c r="S493" s="58">
        <v>0</v>
      </c>
      <c r="T493" s="58">
        <v>0</v>
      </c>
      <c r="U493"/>
    </row>
    <row r="494" spans="1:21">
      <c r="A494" s="104" t="s">
        <v>487</v>
      </c>
      <c r="B494" s="58"/>
      <c r="C494" s="58"/>
      <c r="D494" s="58"/>
      <c r="E494" s="58"/>
      <c r="F494" s="58"/>
      <c r="G494" s="58"/>
      <c r="H494" s="58"/>
      <c r="I494" s="58"/>
      <c r="J494" s="58"/>
      <c r="K494" s="58"/>
      <c r="L494" s="58"/>
      <c r="M494" s="58"/>
      <c r="N494" s="58"/>
      <c r="O494" s="58"/>
      <c r="P494" s="58"/>
      <c r="Q494" s="58"/>
      <c r="R494" s="58"/>
      <c r="S494" s="58"/>
      <c r="T494" s="58"/>
      <c r="U494"/>
    </row>
    <row r="495" spans="1:21">
      <c r="A495" s="105" t="s">
        <v>622</v>
      </c>
      <c r="B495" s="58"/>
      <c r="C495" s="58"/>
      <c r="D495" s="58"/>
      <c r="E495" s="58"/>
      <c r="F495" s="58"/>
      <c r="G495" s="58"/>
      <c r="H495" s="58"/>
      <c r="I495" s="58"/>
      <c r="J495" s="58"/>
      <c r="K495" s="58"/>
      <c r="L495" s="58">
        <v>14062836</v>
      </c>
      <c r="M495" s="58">
        <v>13411132</v>
      </c>
      <c r="N495" s="58">
        <v>12726842</v>
      </c>
      <c r="O495" s="58">
        <v>12008339</v>
      </c>
      <c r="P495" s="58">
        <v>11253910</v>
      </c>
      <c r="Q495" s="58">
        <v>0</v>
      </c>
      <c r="R495" s="58"/>
      <c r="S495" s="58"/>
      <c r="T495" s="58">
        <v>14062836</v>
      </c>
      <c r="U495"/>
    </row>
    <row r="496" spans="1:21">
      <c r="A496" s="105" t="s">
        <v>614</v>
      </c>
      <c r="B496" s="58"/>
      <c r="C496" s="58"/>
      <c r="D496" s="58"/>
      <c r="E496" s="58"/>
      <c r="F496" s="58"/>
      <c r="G496" s="58"/>
      <c r="H496" s="58"/>
      <c r="I496" s="58"/>
      <c r="J496" s="58"/>
      <c r="K496" s="58"/>
      <c r="L496" s="58">
        <v>632716.35</v>
      </c>
      <c r="M496" s="58">
        <v>702936.72</v>
      </c>
      <c r="N496" s="58">
        <v>535737.46</v>
      </c>
      <c r="O496" s="58">
        <v>508402</v>
      </c>
      <c r="P496" s="58">
        <v>479699.78</v>
      </c>
      <c r="Q496" s="58">
        <v>556132.42000000004</v>
      </c>
      <c r="R496" s="58"/>
      <c r="S496" s="58"/>
      <c r="T496" s="58">
        <v>3415624.7299999995</v>
      </c>
      <c r="U496"/>
    </row>
    <row r="497" spans="1:21">
      <c r="A497" s="105" t="s">
        <v>616</v>
      </c>
      <c r="B497" s="58"/>
      <c r="C497" s="58"/>
      <c r="D497" s="58"/>
      <c r="E497" s="58"/>
      <c r="F497" s="58"/>
      <c r="G497" s="58"/>
      <c r="H497" s="58"/>
      <c r="I497" s="58"/>
      <c r="J497" s="58"/>
      <c r="K497" s="58"/>
      <c r="L497" s="58">
        <v>620670.44999999995</v>
      </c>
      <c r="M497" s="58">
        <v>684289.17</v>
      </c>
      <c r="N497" s="58">
        <v>684289.17</v>
      </c>
      <c r="O497" s="58">
        <v>718503.63</v>
      </c>
      <c r="P497" s="58">
        <v>754428.81</v>
      </c>
      <c r="Q497" s="58">
        <v>792150.25</v>
      </c>
      <c r="R497" s="58"/>
      <c r="S497" s="58"/>
      <c r="T497" s="58">
        <v>4254331.4800000004</v>
      </c>
      <c r="U497"/>
    </row>
    <row r="498" spans="1:21">
      <c r="A498" s="105" t="s">
        <v>612</v>
      </c>
      <c r="B498" s="58"/>
      <c r="C498" s="58"/>
      <c r="D498" s="58"/>
      <c r="E498" s="58"/>
      <c r="F498" s="58"/>
      <c r="G498" s="58">
        <v>0</v>
      </c>
      <c r="H498" s="58"/>
      <c r="I498" s="58"/>
      <c r="J498" s="58"/>
      <c r="K498" s="58">
        <v>0</v>
      </c>
      <c r="L498" s="58">
        <v>0</v>
      </c>
      <c r="M498" s="58">
        <v>0</v>
      </c>
      <c r="N498" s="58">
        <v>0</v>
      </c>
      <c r="O498" s="58">
        <v>0</v>
      </c>
      <c r="P498" s="58">
        <v>0</v>
      </c>
      <c r="Q498" s="58">
        <v>10462000</v>
      </c>
      <c r="R498" s="58">
        <v>0</v>
      </c>
      <c r="S498" s="58"/>
      <c r="T498" s="58">
        <v>10462000</v>
      </c>
      <c r="U498"/>
    </row>
    <row r="499" spans="1:21">
      <c r="A499" s="104" t="s">
        <v>489</v>
      </c>
      <c r="B499" s="58"/>
      <c r="C499" s="58"/>
      <c r="D499" s="58"/>
      <c r="E499" s="58"/>
      <c r="F499" s="58"/>
      <c r="G499" s="58"/>
      <c r="H499" s="58"/>
      <c r="I499" s="58"/>
      <c r="J499" s="58"/>
      <c r="K499" s="58"/>
      <c r="L499" s="58"/>
      <c r="M499" s="58"/>
      <c r="N499" s="58"/>
      <c r="O499" s="58"/>
      <c r="P499" s="58"/>
      <c r="Q499" s="58"/>
      <c r="R499" s="58"/>
      <c r="S499" s="58"/>
      <c r="T499" s="58"/>
      <c r="U499"/>
    </row>
    <row r="500" spans="1:21">
      <c r="A500" s="105" t="s">
        <v>622</v>
      </c>
      <c r="B500" s="58"/>
      <c r="C500" s="58"/>
      <c r="D500" s="58"/>
      <c r="E500" s="58"/>
      <c r="F500" s="58"/>
      <c r="G500" s="58"/>
      <c r="H500" s="58"/>
      <c r="I500" s="58"/>
      <c r="J500" s="58"/>
      <c r="K500" s="58"/>
      <c r="L500" s="58">
        <v>14548323</v>
      </c>
      <c r="M500" s="58">
        <v>14243499</v>
      </c>
      <c r="N500" s="58">
        <v>13293435</v>
      </c>
      <c r="O500" s="58">
        <v>13587368</v>
      </c>
      <c r="P500" s="58">
        <v>13234497</v>
      </c>
      <c r="Q500" s="58">
        <v>12863982</v>
      </c>
      <c r="R500" s="58">
        <v>12474942</v>
      </c>
      <c r="S500" s="58">
        <v>12066450</v>
      </c>
      <c r="T500" s="58">
        <v>14548323</v>
      </c>
      <c r="U500"/>
    </row>
    <row r="501" spans="1:21">
      <c r="A501" s="105" t="s">
        <v>614</v>
      </c>
      <c r="B501" s="58"/>
      <c r="C501" s="58"/>
      <c r="D501" s="58"/>
      <c r="E501" s="58"/>
      <c r="F501" s="58"/>
      <c r="G501" s="58"/>
      <c r="H501" s="58"/>
      <c r="I501" s="58"/>
      <c r="J501" s="58"/>
      <c r="K501" s="58"/>
      <c r="L501" s="58">
        <v>0</v>
      </c>
      <c r="M501" s="58">
        <v>576208.9</v>
      </c>
      <c r="N501" s="58">
        <v>576208.9</v>
      </c>
      <c r="O501" s="58">
        <v>563260.96</v>
      </c>
      <c r="P501" s="58">
        <v>549665.64</v>
      </c>
      <c r="Q501" s="58">
        <v>536857.36</v>
      </c>
      <c r="R501" s="58">
        <v>520401.69</v>
      </c>
      <c r="S501" s="58">
        <v>504663.39</v>
      </c>
      <c r="T501" s="58">
        <v>3827266.84</v>
      </c>
      <c r="U501"/>
    </row>
    <row r="502" spans="1:21">
      <c r="A502" s="105" t="s">
        <v>616</v>
      </c>
      <c r="B502" s="58"/>
      <c r="C502" s="58"/>
      <c r="D502" s="58"/>
      <c r="E502" s="58"/>
      <c r="F502" s="58"/>
      <c r="G502" s="58"/>
      <c r="H502" s="58"/>
      <c r="I502" s="58"/>
      <c r="J502" s="58"/>
      <c r="K502" s="58"/>
      <c r="L502" s="58">
        <v>0</v>
      </c>
      <c r="M502" s="58">
        <v>320064.27</v>
      </c>
      <c r="N502" s="58">
        <v>320064.27</v>
      </c>
      <c r="O502" s="58">
        <v>336067.48</v>
      </c>
      <c r="P502" s="58">
        <v>352870.85</v>
      </c>
      <c r="Q502" s="58">
        <v>370514.4</v>
      </c>
      <c r="R502" s="58">
        <v>389040.11</v>
      </c>
      <c r="S502" s="58">
        <v>408492.12</v>
      </c>
      <c r="T502" s="58">
        <v>2497113.5</v>
      </c>
      <c r="U502"/>
    </row>
    <row r="503" spans="1:21">
      <c r="A503" s="105" t="s">
        <v>612</v>
      </c>
      <c r="B503" s="58"/>
      <c r="C503" s="58"/>
      <c r="D503" s="58"/>
      <c r="E503" s="58"/>
      <c r="F503" s="58"/>
      <c r="G503" s="58"/>
      <c r="H503" s="58"/>
      <c r="I503" s="58"/>
      <c r="J503" s="58"/>
      <c r="K503" s="58">
        <v>0</v>
      </c>
      <c r="L503" s="58">
        <v>0</v>
      </c>
      <c r="M503" s="58">
        <v>0</v>
      </c>
      <c r="N503" s="58">
        <v>0</v>
      </c>
      <c r="O503" s="58">
        <v>0</v>
      </c>
      <c r="P503" s="58">
        <v>0</v>
      </c>
      <c r="Q503" s="58">
        <v>0</v>
      </c>
      <c r="R503" s="58">
        <v>0</v>
      </c>
      <c r="S503" s="58">
        <v>0</v>
      </c>
      <c r="T503" s="58">
        <v>0</v>
      </c>
      <c r="U503"/>
    </row>
    <row r="504" spans="1:21">
      <c r="A504" s="104" t="s">
        <v>324</v>
      </c>
      <c r="B504" s="58"/>
      <c r="C504" s="58"/>
      <c r="D504" s="58"/>
      <c r="E504" s="58"/>
      <c r="F504" s="58"/>
      <c r="G504" s="58"/>
      <c r="H504" s="58"/>
      <c r="I504" s="58"/>
      <c r="J504" s="58"/>
      <c r="K504" s="58"/>
      <c r="L504" s="58"/>
      <c r="M504" s="58"/>
      <c r="N504" s="58"/>
      <c r="O504" s="58"/>
      <c r="P504" s="58"/>
      <c r="Q504" s="58"/>
      <c r="R504" s="58"/>
      <c r="S504" s="58"/>
      <c r="T504" s="58"/>
      <c r="U504"/>
    </row>
    <row r="505" spans="1:21">
      <c r="A505" s="105" t="s">
        <v>622</v>
      </c>
      <c r="B505" s="58"/>
      <c r="C505" s="58"/>
      <c r="D505" s="58"/>
      <c r="E505" s="58"/>
      <c r="F505" s="58"/>
      <c r="G505" s="58"/>
      <c r="H505" s="58"/>
      <c r="I505" s="58"/>
      <c r="J505" s="58"/>
      <c r="K505" s="58"/>
      <c r="L505" s="58">
        <v>1200000</v>
      </c>
      <c r="M505" s="58">
        <v>4886395</v>
      </c>
      <c r="N505" s="58">
        <v>4650540</v>
      </c>
      <c r="O505" s="58">
        <v>4402669</v>
      </c>
      <c r="P505" s="58">
        <v>4142170</v>
      </c>
      <c r="Q505" s="58">
        <v>3868399</v>
      </c>
      <c r="R505" s="58">
        <v>3580682</v>
      </c>
      <c r="S505" s="58">
        <v>3278307</v>
      </c>
      <c r="T505" s="58">
        <v>4886395</v>
      </c>
      <c r="U505"/>
    </row>
    <row r="506" spans="1:21">
      <c r="A506" s="105" t="s">
        <v>614</v>
      </c>
      <c r="B506" s="58"/>
      <c r="C506" s="58"/>
      <c r="D506" s="58"/>
      <c r="E506" s="58"/>
      <c r="F506" s="58"/>
      <c r="G506" s="58"/>
      <c r="H506" s="58"/>
      <c r="I506" s="58"/>
      <c r="J506" s="58"/>
      <c r="K506" s="58"/>
      <c r="L506" s="58">
        <v>0</v>
      </c>
      <c r="M506" s="58">
        <v>38057.440000000002</v>
      </c>
      <c r="N506" s="58">
        <v>65691.75</v>
      </c>
      <c r="O506" s="58">
        <v>64400.56</v>
      </c>
      <c r="P506" s="58">
        <v>52005.599999999999</v>
      </c>
      <c r="Q506" s="58">
        <v>40247.24</v>
      </c>
      <c r="R506" s="58">
        <v>35050.199999999997</v>
      </c>
      <c r="S506" s="58">
        <v>31994.400000000001</v>
      </c>
      <c r="T506" s="58">
        <v>327447.19</v>
      </c>
      <c r="U506"/>
    </row>
    <row r="507" spans="1:21">
      <c r="A507" s="105" t="s">
        <v>616</v>
      </c>
      <c r="B507" s="58"/>
      <c r="C507" s="58"/>
      <c r="D507" s="58"/>
      <c r="E507" s="58"/>
      <c r="F507" s="58"/>
      <c r="G507" s="58"/>
      <c r="H507" s="58"/>
      <c r="I507" s="58"/>
      <c r="J507" s="58"/>
      <c r="K507" s="58"/>
      <c r="L507" s="58">
        <v>0</v>
      </c>
      <c r="M507" s="58">
        <v>113604.92</v>
      </c>
      <c r="N507" s="58">
        <v>235855.35999999999</v>
      </c>
      <c r="O507" s="58">
        <v>247871.08</v>
      </c>
      <c r="P507" s="58">
        <v>260498.97</v>
      </c>
      <c r="Q507" s="58">
        <v>273770.18</v>
      </c>
      <c r="R507" s="58">
        <v>287717.49</v>
      </c>
      <c r="S507" s="58">
        <v>302375.34000000003</v>
      </c>
      <c r="T507" s="58">
        <v>1721693.34</v>
      </c>
      <c r="U507"/>
    </row>
    <row r="508" spans="1:21">
      <c r="A508" s="105" t="s">
        <v>612</v>
      </c>
      <c r="B508" s="58"/>
      <c r="C508" s="58"/>
      <c r="D508" s="58"/>
      <c r="E508" s="58"/>
      <c r="F508" s="58"/>
      <c r="G508" s="58"/>
      <c r="H508" s="58"/>
      <c r="I508" s="58"/>
      <c r="J508" s="58"/>
      <c r="K508" s="58">
        <v>0</v>
      </c>
      <c r="L508" s="58">
        <v>0</v>
      </c>
      <c r="M508" s="58">
        <v>0</v>
      </c>
      <c r="N508" s="58">
        <v>0</v>
      </c>
      <c r="O508" s="58">
        <v>0</v>
      </c>
      <c r="P508" s="58">
        <v>0</v>
      </c>
      <c r="Q508" s="58">
        <v>0</v>
      </c>
      <c r="R508" s="58">
        <v>0</v>
      </c>
      <c r="S508" s="58">
        <v>0</v>
      </c>
      <c r="T508" s="58">
        <v>0</v>
      </c>
      <c r="U508"/>
    </row>
    <row r="509" spans="1:21">
      <c r="A509" s="104" t="s">
        <v>328</v>
      </c>
      <c r="B509" s="58"/>
      <c r="C509" s="58"/>
      <c r="D509" s="58"/>
      <c r="E509" s="58"/>
      <c r="F509" s="58"/>
      <c r="G509" s="58"/>
      <c r="H509" s="58"/>
      <c r="I509" s="58"/>
      <c r="J509" s="58"/>
      <c r="K509" s="58"/>
      <c r="L509" s="58"/>
      <c r="M509" s="58"/>
      <c r="N509" s="58"/>
      <c r="O509" s="58"/>
      <c r="P509" s="58"/>
      <c r="Q509" s="58"/>
      <c r="R509" s="58"/>
      <c r="S509" s="58"/>
      <c r="T509" s="58"/>
      <c r="U509"/>
    </row>
    <row r="510" spans="1:21">
      <c r="A510" s="105" t="s">
        <v>622</v>
      </c>
      <c r="B510" s="58"/>
      <c r="C510" s="58"/>
      <c r="D510" s="58"/>
      <c r="E510" s="58"/>
      <c r="F510" s="58"/>
      <c r="G510" s="58"/>
      <c r="H510" s="58"/>
      <c r="I510" s="58"/>
      <c r="J510" s="58"/>
      <c r="K510" s="58"/>
      <c r="L510" s="58">
        <v>4000000</v>
      </c>
      <c r="M510" s="58">
        <v>4886395</v>
      </c>
      <c r="N510" s="58">
        <v>4650540</v>
      </c>
      <c r="O510" s="58">
        <v>4402669</v>
      </c>
      <c r="P510" s="58">
        <v>4142170</v>
      </c>
      <c r="Q510" s="58">
        <v>3868399</v>
      </c>
      <c r="R510" s="58">
        <v>3580682</v>
      </c>
      <c r="S510" s="58">
        <v>3278307</v>
      </c>
      <c r="T510" s="58">
        <v>4886395</v>
      </c>
      <c r="U510"/>
    </row>
    <row r="511" spans="1:21">
      <c r="A511" s="105" t="s">
        <v>614</v>
      </c>
      <c r="B511" s="58"/>
      <c r="C511" s="58"/>
      <c r="D511" s="58"/>
      <c r="E511" s="58"/>
      <c r="F511" s="58"/>
      <c r="G511" s="58"/>
      <c r="H511" s="58"/>
      <c r="I511" s="58"/>
      <c r="J511" s="58"/>
      <c r="K511" s="58"/>
      <c r="L511" s="58">
        <v>0</v>
      </c>
      <c r="M511" s="58">
        <v>31800.65</v>
      </c>
      <c r="N511" s="58">
        <v>51306.35</v>
      </c>
      <c r="O511" s="58">
        <v>50726.18</v>
      </c>
      <c r="P511" s="58">
        <v>39088.97</v>
      </c>
      <c r="Q511" s="58">
        <v>28126.1</v>
      </c>
      <c r="R511" s="58">
        <v>23774.7</v>
      </c>
      <c r="S511" s="58">
        <v>21590.55</v>
      </c>
      <c r="T511" s="58">
        <v>246413.5</v>
      </c>
      <c r="U511"/>
    </row>
    <row r="512" spans="1:21">
      <c r="A512" s="105" t="s">
        <v>616</v>
      </c>
      <c r="B512" s="58"/>
      <c r="C512" s="58"/>
      <c r="D512" s="58"/>
      <c r="E512" s="58"/>
      <c r="F512" s="58"/>
      <c r="G512" s="58"/>
      <c r="H512" s="58"/>
      <c r="I512" s="58"/>
      <c r="J512" s="58"/>
      <c r="K512" s="58"/>
      <c r="L512" s="58">
        <v>0</v>
      </c>
      <c r="M512" s="58">
        <v>113604.92</v>
      </c>
      <c r="N512" s="58">
        <v>235855.35999999999</v>
      </c>
      <c r="O512" s="58">
        <v>247871.08</v>
      </c>
      <c r="P512" s="58">
        <v>260498.97</v>
      </c>
      <c r="Q512" s="58">
        <v>273770.18</v>
      </c>
      <c r="R512" s="58">
        <v>287717.49</v>
      </c>
      <c r="S512" s="58">
        <v>302375.34000000003</v>
      </c>
      <c r="T512" s="58">
        <v>1721693.34</v>
      </c>
      <c r="U512"/>
    </row>
    <row r="513" spans="1:21">
      <c r="A513" s="105" t="s">
        <v>612</v>
      </c>
      <c r="B513" s="58"/>
      <c r="C513" s="58"/>
      <c r="D513" s="58"/>
      <c r="E513" s="58"/>
      <c r="F513" s="58"/>
      <c r="G513" s="58"/>
      <c r="H513" s="58"/>
      <c r="I513" s="58"/>
      <c r="J513" s="58"/>
      <c r="K513" s="58">
        <v>0</v>
      </c>
      <c r="L513" s="58">
        <v>0</v>
      </c>
      <c r="M513" s="58">
        <v>0</v>
      </c>
      <c r="N513" s="58">
        <v>0</v>
      </c>
      <c r="O513" s="58">
        <v>0</v>
      </c>
      <c r="P513" s="58">
        <v>0</v>
      </c>
      <c r="Q513" s="58">
        <v>0</v>
      </c>
      <c r="R513" s="58">
        <v>0</v>
      </c>
      <c r="S513" s="58">
        <v>0</v>
      </c>
      <c r="T513" s="58">
        <v>0</v>
      </c>
      <c r="U513"/>
    </row>
    <row r="514" spans="1:21">
      <c r="A514" s="104" t="s">
        <v>333</v>
      </c>
      <c r="B514" s="58"/>
      <c r="C514" s="58"/>
      <c r="D514" s="58"/>
      <c r="E514" s="58"/>
      <c r="F514" s="58"/>
      <c r="G514" s="58"/>
      <c r="H514" s="58"/>
      <c r="I514" s="58"/>
      <c r="J514" s="58"/>
      <c r="K514" s="58"/>
      <c r="L514" s="58"/>
      <c r="M514" s="58"/>
      <c r="N514" s="58"/>
      <c r="O514" s="58"/>
      <c r="P514" s="58"/>
      <c r="Q514" s="58"/>
      <c r="R514" s="58"/>
      <c r="S514" s="58"/>
      <c r="T514" s="58"/>
      <c r="U514"/>
    </row>
    <row r="515" spans="1:21">
      <c r="A515" s="105" t="s">
        <v>622</v>
      </c>
      <c r="B515" s="58"/>
      <c r="C515" s="58"/>
      <c r="D515" s="58"/>
      <c r="E515" s="58"/>
      <c r="F515" s="58"/>
      <c r="G515" s="58"/>
      <c r="H515" s="58"/>
      <c r="I515" s="58"/>
      <c r="J515" s="58"/>
      <c r="K515" s="58"/>
      <c r="L515" s="58">
        <v>8585272</v>
      </c>
      <c r="M515" s="58">
        <v>7990225</v>
      </c>
      <c r="N515" s="58">
        <v>7369029</v>
      </c>
      <c r="O515" s="58">
        <v>0</v>
      </c>
      <c r="P515" s="58"/>
      <c r="Q515" s="58"/>
      <c r="R515" s="58"/>
      <c r="S515" s="58"/>
      <c r="T515" s="58">
        <v>8585272</v>
      </c>
      <c r="U515"/>
    </row>
    <row r="516" spans="1:21">
      <c r="A516" s="105" t="s">
        <v>614</v>
      </c>
      <c r="B516" s="58"/>
      <c r="C516" s="58"/>
      <c r="D516" s="58"/>
      <c r="E516" s="58"/>
      <c r="F516" s="58"/>
      <c r="G516" s="58"/>
      <c r="H516" s="58"/>
      <c r="I516" s="58"/>
      <c r="J516" s="58"/>
      <c r="K516" s="58"/>
      <c r="L516" s="58">
        <v>0</v>
      </c>
      <c r="M516" s="58">
        <v>542827.9</v>
      </c>
      <c r="N516" s="58">
        <v>375314.87</v>
      </c>
      <c r="O516" s="58">
        <v>45595.86</v>
      </c>
      <c r="P516" s="58"/>
      <c r="Q516" s="58"/>
      <c r="R516" s="58"/>
      <c r="S516" s="58"/>
      <c r="T516" s="58">
        <v>963738.63</v>
      </c>
      <c r="U516"/>
    </row>
    <row r="517" spans="1:21">
      <c r="A517" s="105" t="s">
        <v>616</v>
      </c>
      <c r="B517" s="58"/>
      <c r="C517" s="58"/>
      <c r="D517" s="58"/>
      <c r="E517" s="58"/>
      <c r="F517" s="58"/>
      <c r="G517" s="58"/>
      <c r="H517" s="58"/>
      <c r="I517" s="58"/>
      <c r="J517" s="58"/>
      <c r="K517" s="58"/>
      <c r="L517" s="58">
        <v>0</v>
      </c>
      <c r="M517" s="58">
        <v>621196.30000000005</v>
      </c>
      <c r="N517" s="58">
        <v>621196.30000000005</v>
      </c>
      <c r="O517" s="58">
        <v>0</v>
      </c>
      <c r="P517" s="58"/>
      <c r="Q517" s="58"/>
      <c r="R517" s="58"/>
      <c r="S517" s="58"/>
      <c r="T517" s="58">
        <v>1242392.6000000001</v>
      </c>
      <c r="U517"/>
    </row>
    <row r="518" spans="1:21">
      <c r="A518" s="105" t="s">
        <v>612</v>
      </c>
      <c r="B518" s="58"/>
      <c r="C518" s="58"/>
      <c r="D518" s="58"/>
      <c r="E518" s="58"/>
      <c r="F518" s="58"/>
      <c r="G518" s="58"/>
      <c r="H518" s="58"/>
      <c r="I518" s="58"/>
      <c r="J518" s="58"/>
      <c r="K518" s="58">
        <v>0</v>
      </c>
      <c r="L518" s="58">
        <v>0</v>
      </c>
      <c r="M518" s="58">
        <v>0</v>
      </c>
      <c r="N518" s="58">
        <v>0</v>
      </c>
      <c r="O518" s="58">
        <v>7369000</v>
      </c>
      <c r="P518" s="58">
        <v>0</v>
      </c>
      <c r="Q518" s="58">
        <v>0</v>
      </c>
      <c r="R518" s="58">
        <v>0</v>
      </c>
      <c r="S518" s="58"/>
      <c r="T518" s="58">
        <v>7369000</v>
      </c>
      <c r="U518"/>
    </row>
    <row r="519" spans="1:21">
      <c r="A519" s="104" t="s">
        <v>331</v>
      </c>
      <c r="B519" s="58"/>
      <c r="C519" s="58"/>
      <c r="D519" s="58"/>
      <c r="E519" s="58"/>
      <c r="F519" s="58"/>
      <c r="G519" s="58"/>
      <c r="H519" s="58"/>
      <c r="I519" s="58"/>
      <c r="J519" s="58"/>
      <c r="K519" s="58"/>
      <c r="L519" s="58"/>
      <c r="M519" s="58"/>
      <c r="N519" s="58"/>
      <c r="O519" s="58"/>
      <c r="P519" s="58"/>
      <c r="Q519" s="58"/>
      <c r="R519" s="58"/>
      <c r="S519" s="58"/>
      <c r="T519" s="58"/>
      <c r="U519"/>
    </row>
    <row r="520" spans="1:21">
      <c r="A520" s="105" t="s">
        <v>622</v>
      </c>
      <c r="B520" s="58"/>
      <c r="C520" s="58"/>
      <c r="D520" s="58"/>
      <c r="E520" s="58"/>
      <c r="F520" s="58"/>
      <c r="G520" s="58"/>
      <c r="H520" s="58"/>
      <c r="I520" s="58"/>
      <c r="J520" s="58"/>
      <c r="K520" s="58"/>
      <c r="L520" s="58">
        <v>8387574</v>
      </c>
      <c r="M520" s="58">
        <v>8990499</v>
      </c>
      <c r="N520" s="58">
        <v>8708301</v>
      </c>
      <c r="O520" s="58">
        <v>8440823</v>
      </c>
      <c r="P520" s="58">
        <v>8109399</v>
      </c>
      <c r="Q520" s="58">
        <v>7713685</v>
      </c>
      <c r="R520" s="58">
        <v>7236012</v>
      </c>
      <c r="S520" s="58">
        <v>0</v>
      </c>
      <c r="T520" s="58">
        <v>8990499</v>
      </c>
      <c r="U520"/>
    </row>
    <row r="521" spans="1:21">
      <c r="A521" s="105" t="s">
        <v>614</v>
      </c>
      <c r="B521" s="58"/>
      <c r="C521" s="58"/>
      <c r="D521" s="58"/>
      <c r="E521" s="58"/>
      <c r="F521" s="58"/>
      <c r="G521" s="58"/>
      <c r="H521" s="58"/>
      <c r="I521" s="58"/>
      <c r="J521" s="58"/>
      <c r="K521" s="58"/>
      <c r="L521" s="58">
        <v>0</v>
      </c>
      <c r="M521" s="58">
        <v>319911.93</v>
      </c>
      <c r="N521" s="58">
        <v>319911.93</v>
      </c>
      <c r="O521" s="58">
        <v>309023.73</v>
      </c>
      <c r="P521" s="58">
        <v>299532</v>
      </c>
      <c r="Q521" s="58">
        <v>287771.03999999998</v>
      </c>
      <c r="R521" s="58">
        <v>274478.62</v>
      </c>
      <c r="S521" s="58">
        <v>256777.94</v>
      </c>
      <c r="T521" s="58">
        <v>2067407.19</v>
      </c>
      <c r="U521"/>
    </row>
    <row r="522" spans="1:21">
      <c r="A522" s="105" t="s">
        <v>616</v>
      </c>
      <c r="B522" s="58"/>
      <c r="C522" s="58"/>
      <c r="D522" s="58"/>
      <c r="E522" s="58"/>
      <c r="F522" s="58"/>
      <c r="G522" s="58"/>
      <c r="H522" s="58"/>
      <c r="I522" s="58"/>
      <c r="J522" s="58"/>
      <c r="K522" s="58"/>
      <c r="L522" s="58">
        <v>0</v>
      </c>
      <c r="M522" s="58">
        <v>282198.24</v>
      </c>
      <c r="N522" s="58">
        <v>282198.24</v>
      </c>
      <c r="O522" s="58">
        <v>267477.38</v>
      </c>
      <c r="P522" s="58">
        <v>331424.19</v>
      </c>
      <c r="Q522" s="58">
        <v>395714.28</v>
      </c>
      <c r="R522" s="58">
        <v>477672.67</v>
      </c>
      <c r="S522" s="58">
        <v>568569.47</v>
      </c>
      <c r="T522" s="58">
        <v>2605254.4699999997</v>
      </c>
      <c r="U522"/>
    </row>
    <row r="523" spans="1:21">
      <c r="A523" s="105" t="s">
        <v>612</v>
      </c>
      <c r="B523" s="58"/>
      <c r="C523" s="58"/>
      <c r="D523" s="58"/>
      <c r="E523" s="58"/>
      <c r="F523" s="58"/>
      <c r="G523" s="58"/>
      <c r="H523" s="58"/>
      <c r="I523" s="58"/>
      <c r="J523" s="58"/>
      <c r="K523" s="58">
        <v>0</v>
      </c>
      <c r="L523" s="58">
        <v>0</v>
      </c>
      <c r="M523" s="58">
        <v>0</v>
      </c>
      <c r="N523" s="58">
        <v>0</v>
      </c>
      <c r="O523" s="58">
        <v>0</v>
      </c>
      <c r="P523" s="58">
        <v>0</v>
      </c>
      <c r="Q523" s="58">
        <v>0</v>
      </c>
      <c r="R523" s="58">
        <v>0</v>
      </c>
      <c r="S523" s="58">
        <v>6667000</v>
      </c>
      <c r="T523" s="58">
        <v>6667000</v>
      </c>
      <c r="U523"/>
    </row>
    <row r="524" spans="1:21">
      <c r="A524" s="104" t="s">
        <v>336</v>
      </c>
      <c r="B524" s="58"/>
      <c r="C524" s="58"/>
      <c r="D524" s="58"/>
      <c r="E524" s="58"/>
      <c r="F524" s="58"/>
      <c r="G524" s="58"/>
      <c r="H524" s="58"/>
      <c r="I524" s="58"/>
      <c r="J524" s="58"/>
      <c r="K524" s="58"/>
      <c r="L524" s="58"/>
      <c r="M524" s="58"/>
      <c r="N524" s="58"/>
      <c r="O524" s="58"/>
      <c r="P524" s="58"/>
      <c r="Q524" s="58"/>
      <c r="R524" s="58"/>
      <c r="S524" s="58"/>
      <c r="T524" s="58"/>
      <c r="U524"/>
    </row>
    <row r="525" spans="1:21">
      <c r="A525" s="105" t="s">
        <v>622</v>
      </c>
      <c r="B525" s="58"/>
      <c r="C525" s="58"/>
      <c r="D525" s="58"/>
      <c r="E525" s="58"/>
      <c r="F525" s="58"/>
      <c r="G525" s="58"/>
      <c r="H525" s="58"/>
      <c r="I525" s="58"/>
      <c r="J525" s="58"/>
      <c r="K525" s="58"/>
      <c r="L525" s="58">
        <v>9953600</v>
      </c>
      <c r="M525" s="58">
        <v>0</v>
      </c>
      <c r="N525" s="58"/>
      <c r="O525" s="58"/>
      <c r="P525" s="58"/>
      <c r="Q525" s="58"/>
      <c r="R525" s="58"/>
      <c r="S525" s="58"/>
      <c r="T525" s="58">
        <v>9953600</v>
      </c>
      <c r="U525"/>
    </row>
    <row r="526" spans="1:21">
      <c r="A526" s="105" t="s">
        <v>614</v>
      </c>
      <c r="B526" s="58"/>
      <c r="C526" s="58"/>
      <c r="D526" s="58"/>
      <c r="E526" s="58"/>
      <c r="F526" s="58"/>
      <c r="G526" s="58"/>
      <c r="H526" s="58"/>
      <c r="I526" s="58"/>
      <c r="J526" s="58"/>
      <c r="K526" s="58"/>
      <c r="L526" s="58">
        <v>0</v>
      </c>
      <c r="M526" s="58">
        <v>606157.67000000004</v>
      </c>
      <c r="N526" s="58"/>
      <c r="O526" s="58"/>
      <c r="P526" s="58"/>
      <c r="Q526" s="58"/>
      <c r="R526" s="58"/>
      <c r="S526" s="58"/>
      <c r="T526" s="58">
        <v>606157.67000000004</v>
      </c>
      <c r="U526"/>
    </row>
    <row r="527" spans="1:21">
      <c r="A527" s="105" t="s">
        <v>616</v>
      </c>
      <c r="B527" s="58"/>
      <c r="C527" s="58"/>
      <c r="D527" s="58"/>
      <c r="E527" s="58"/>
      <c r="F527" s="58"/>
      <c r="G527" s="58"/>
      <c r="H527" s="58"/>
      <c r="I527" s="58"/>
      <c r="J527" s="58"/>
      <c r="K527" s="58"/>
      <c r="L527" s="58">
        <v>0</v>
      </c>
      <c r="M527" s="58">
        <v>353812.89</v>
      </c>
      <c r="N527" s="58"/>
      <c r="O527" s="58"/>
      <c r="P527" s="58"/>
      <c r="Q527" s="58"/>
      <c r="R527" s="58"/>
      <c r="S527" s="58"/>
      <c r="T527" s="58">
        <v>353812.89</v>
      </c>
      <c r="U527"/>
    </row>
    <row r="528" spans="1:21">
      <c r="A528" s="105" t="s">
        <v>612</v>
      </c>
      <c r="B528" s="58"/>
      <c r="C528" s="58"/>
      <c r="D528" s="58"/>
      <c r="E528" s="58"/>
      <c r="F528" s="58"/>
      <c r="G528" s="58"/>
      <c r="H528" s="58"/>
      <c r="I528" s="58"/>
      <c r="J528" s="58"/>
      <c r="K528" s="58">
        <v>0</v>
      </c>
      <c r="L528" s="58">
        <v>0</v>
      </c>
      <c r="M528" s="58">
        <v>9600000</v>
      </c>
      <c r="N528" s="58">
        <v>0</v>
      </c>
      <c r="O528" s="58">
        <v>0</v>
      </c>
      <c r="P528" s="58">
        <v>0</v>
      </c>
      <c r="Q528" s="58">
        <v>0</v>
      </c>
      <c r="R528" s="58">
        <v>0</v>
      </c>
      <c r="S528" s="58"/>
      <c r="T528" s="58">
        <v>9600000</v>
      </c>
      <c r="U528"/>
    </row>
    <row r="529" spans="1:21">
      <c r="A529" s="104" t="s">
        <v>339</v>
      </c>
      <c r="B529" s="58"/>
      <c r="C529" s="58"/>
      <c r="D529" s="58"/>
      <c r="E529" s="58"/>
      <c r="F529" s="58"/>
      <c r="G529" s="58"/>
      <c r="H529" s="58"/>
      <c r="I529" s="58"/>
      <c r="J529" s="58"/>
      <c r="K529" s="58"/>
      <c r="L529" s="58"/>
      <c r="M529" s="58"/>
      <c r="N529" s="58"/>
      <c r="O529" s="58"/>
      <c r="P529" s="58"/>
      <c r="Q529" s="58"/>
      <c r="R529" s="58"/>
      <c r="S529" s="58"/>
      <c r="T529" s="58"/>
      <c r="U529"/>
    </row>
    <row r="530" spans="1:21">
      <c r="A530" s="105" t="s">
        <v>622</v>
      </c>
      <c r="B530" s="58"/>
      <c r="C530" s="58"/>
      <c r="D530" s="58"/>
      <c r="E530" s="58"/>
      <c r="F530" s="58"/>
      <c r="G530" s="58"/>
      <c r="H530" s="58"/>
      <c r="I530" s="58"/>
      <c r="J530" s="58"/>
      <c r="K530" s="58"/>
      <c r="L530" s="58"/>
      <c r="M530" s="58">
        <v>6500000</v>
      </c>
      <c r="N530" s="58">
        <v>6270153</v>
      </c>
      <c r="O530" s="58">
        <v>6032261</v>
      </c>
      <c r="P530" s="58">
        <v>5786044</v>
      </c>
      <c r="Q530" s="58">
        <v>5531208</v>
      </c>
      <c r="R530" s="58">
        <v>5267453</v>
      </c>
      <c r="S530" s="58">
        <v>4994467</v>
      </c>
      <c r="T530" s="58">
        <v>6500000</v>
      </c>
      <c r="U530"/>
    </row>
    <row r="531" spans="1:21">
      <c r="A531" s="105" t="s">
        <v>614</v>
      </c>
      <c r="B531" s="58"/>
      <c r="C531" s="58"/>
      <c r="D531" s="58"/>
      <c r="E531" s="58"/>
      <c r="F531" s="58"/>
      <c r="G531" s="58"/>
      <c r="H531" s="58"/>
      <c r="I531" s="58"/>
      <c r="J531" s="58"/>
      <c r="K531" s="58"/>
      <c r="L531" s="58"/>
      <c r="M531" s="58">
        <v>320504.17</v>
      </c>
      <c r="N531" s="58">
        <v>320504.17</v>
      </c>
      <c r="O531" s="58">
        <v>308326.07</v>
      </c>
      <c r="P531" s="58">
        <v>296628.07</v>
      </c>
      <c r="Q531" s="58">
        <v>284520.65000000002</v>
      </c>
      <c r="R531" s="58">
        <v>272734.65000000002</v>
      </c>
      <c r="S531" s="58">
        <v>259019.7</v>
      </c>
      <c r="T531" s="58">
        <v>2062237.4799999997</v>
      </c>
      <c r="U531"/>
    </row>
    <row r="532" spans="1:21">
      <c r="A532" s="105" t="s">
        <v>616</v>
      </c>
      <c r="B532" s="58"/>
      <c r="C532" s="58"/>
      <c r="D532" s="58"/>
      <c r="E532" s="58"/>
      <c r="F532" s="58"/>
      <c r="G532" s="58"/>
      <c r="H532" s="58"/>
      <c r="I532" s="58"/>
      <c r="J532" s="58"/>
      <c r="K532" s="58"/>
      <c r="L532" s="58"/>
      <c r="M532" s="58">
        <v>229847</v>
      </c>
      <c r="N532" s="58">
        <v>229847</v>
      </c>
      <c r="O532" s="58">
        <v>237891.64</v>
      </c>
      <c r="P532" s="58">
        <v>246217.85</v>
      </c>
      <c r="Q532" s="58">
        <v>254835.48</v>
      </c>
      <c r="R532" s="58">
        <v>263754.71999999997</v>
      </c>
      <c r="S532" s="58">
        <v>272986.13</v>
      </c>
      <c r="T532" s="58">
        <v>1735379.8199999998</v>
      </c>
      <c r="U532"/>
    </row>
    <row r="533" spans="1:21">
      <c r="A533" s="105" t="s">
        <v>612</v>
      </c>
      <c r="B533" s="58"/>
      <c r="C533" s="58"/>
      <c r="D533" s="58"/>
      <c r="E533" s="58"/>
      <c r="F533" s="58"/>
      <c r="G533" s="58"/>
      <c r="H533" s="58"/>
      <c r="I533" s="58"/>
      <c r="J533" s="58"/>
      <c r="K533" s="58">
        <v>0</v>
      </c>
      <c r="L533" s="58">
        <v>0</v>
      </c>
      <c r="M533" s="58">
        <v>0</v>
      </c>
      <c r="N533" s="58">
        <v>0</v>
      </c>
      <c r="O533" s="58">
        <v>0</v>
      </c>
      <c r="P533" s="58">
        <v>0</v>
      </c>
      <c r="Q533" s="58">
        <v>0</v>
      </c>
      <c r="R533" s="58">
        <v>0</v>
      </c>
      <c r="S533" s="58">
        <v>0</v>
      </c>
      <c r="T533" s="58">
        <v>0</v>
      </c>
      <c r="U533"/>
    </row>
    <row r="534" spans="1:21">
      <c r="A534" s="104" t="s">
        <v>340</v>
      </c>
      <c r="B534" s="58"/>
      <c r="C534" s="58"/>
      <c r="D534" s="58"/>
      <c r="E534" s="58"/>
      <c r="F534" s="58"/>
      <c r="G534" s="58"/>
      <c r="H534" s="58"/>
      <c r="I534" s="58"/>
      <c r="J534" s="58"/>
      <c r="K534" s="58"/>
      <c r="L534" s="58"/>
      <c r="M534" s="58"/>
      <c r="N534" s="58"/>
      <c r="O534" s="58"/>
      <c r="P534" s="58"/>
      <c r="Q534" s="58"/>
      <c r="R534" s="58"/>
      <c r="S534" s="58"/>
      <c r="T534" s="58"/>
      <c r="U534"/>
    </row>
    <row r="535" spans="1:21">
      <c r="A535" s="105" t="s">
        <v>622</v>
      </c>
      <c r="B535" s="58"/>
      <c r="C535" s="58"/>
      <c r="D535" s="58"/>
      <c r="E535" s="58"/>
      <c r="F535" s="58"/>
      <c r="G535" s="58"/>
      <c r="H535" s="58"/>
      <c r="I535" s="58"/>
      <c r="J535" s="58"/>
      <c r="K535" s="58"/>
      <c r="L535" s="58"/>
      <c r="M535" s="58">
        <v>11348820</v>
      </c>
      <c r="N535" s="58"/>
      <c r="O535" s="58"/>
      <c r="P535" s="58"/>
      <c r="Q535" s="58"/>
      <c r="R535" s="58"/>
      <c r="S535" s="58"/>
      <c r="T535" s="58">
        <v>11348820</v>
      </c>
      <c r="U535"/>
    </row>
    <row r="536" spans="1:21">
      <c r="A536" s="105" t="s">
        <v>614</v>
      </c>
      <c r="B536" s="58"/>
      <c r="C536" s="58"/>
      <c r="D536" s="58"/>
      <c r="E536" s="58"/>
      <c r="F536" s="58"/>
      <c r="G536" s="58"/>
      <c r="H536" s="58"/>
      <c r="I536" s="58"/>
      <c r="J536" s="58"/>
      <c r="K536" s="58"/>
      <c r="L536" s="58"/>
      <c r="M536" s="58">
        <v>597666.67000000004</v>
      </c>
      <c r="N536" s="58"/>
      <c r="O536" s="58"/>
      <c r="P536" s="58"/>
      <c r="Q536" s="58"/>
      <c r="R536" s="58"/>
      <c r="S536" s="58"/>
      <c r="T536" s="58">
        <v>597666.67000000004</v>
      </c>
      <c r="U536"/>
    </row>
    <row r="537" spans="1:21">
      <c r="A537" s="105" t="s">
        <v>616</v>
      </c>
      <c r="B537" s="58"/>
      <c r="C537" s="58"/>
      <c r="D537" s="58"/>
      <c r="E537" s="58"/>
      <c r="F537" s="58"/>
      <c r="G537" s="58"/>
      <c r="H537" s="58"/>
      <c r="I537" s="58"/>
      <c r="J537" s="58"/>
      <c r="K537" s="58"/>
      <c r="L537" s="58"/>
      <c r="M537" s="58">
        <v>786657.72</v>
      </c>
      <c r="N537" s="58"/>
      <c r="O537" s="58"/>
      <c r="P537" s="58"/>
      <c r="Q537" s="58"/>
      <c r="R537" s="58"/>
      <c r="S537" s="58"/>
      <c r="T537" s="58">
        <v>786657.72</v>
      </c>
      <c r="U537"/>
    </row>
    <row r="538" spans="1:21">
      <c r="A538" s="105" t="s">
        <v>612</v>
      </c>
      <c r="B538" s="58"/>
      <c r="C538" s="58"/>
      <c r="D538" s="58"/>
      <c r="E538" s="58"/>
      <c r="F538" s="58"/>
      <c r="G538" s="58"/>
      <c r="H538" s="58"/>
      <c r="I538" s="58"/>
      <c r="J538" s="58"/>
      <c r="K538" s="58"/>
      <c r="L538" s="58">
        <v>0</v>
      </c>
      <c r="M538" s="58">
        <v>0</v>
      </c>
      <c r="N538" s="58">
        <v>11349000</v>
      </c>
      <c r="O538" s="58">
        <v>0</v>
      </c>
      <c r="P538" s="58"/>
      <c r="Q538" s="58"/>
      <c r="R538" s="58"/>
      <c r="S538" s="58"/>
      <c r="T538" s="58">
        <v>11349000</v>
      </c>
      <c r="U538"/>
    </row>
    <row r="539" spans="1:21">
      <c r="A539" s="104" t="s">
        <v>342</v>
      </c>
      <c r="B539" s="58"/>
      <c r="C539" s="58"/>
      <c r="D539" s="58"/>
      <c r="E539" s="58"/>
      <c r="F539" s="58"/>
      <c r="G539" s="58"/>
      <c r="H539" s="58"/>
      <c r="I539" s="58"/>
      <c r="J539" s="58"/>
      <c r="K539" s="58"/>
      <c r="L539" s="58"/>
      <c r="M539" s="58"/>
      <c r="N539" s="58"/>
      <c r="O539" s="58"/>
      <c r="P539" s="58"/>
      <c r="Q539" s="58"/>
      <c r="R539" s="58"/>
      <c r="S539" s="58"/>
      <c r="T539" s="58"/>
      <c r="U539"/>
    </row>
    <row r="540" spans="1:21">
      <c r="A540" s="105" t="s">
        <v>622</v>
      </c>
      <c r="B540" s="58"/>
      <c r="C540" s="58"/>
      <c r="D540" s="58"/>
      <c r="E540" s="58"/>
      <c r="F540" s="58"/>
      <c r="G540" s="58"/>
      <c r="H540" s="58"/>
      <c r="I540" s="58"/>
      <c r="J540" s="58"/>
      <c r="K540" s="58"/>
      <c r="L540" s="58"/>
      <c r="M540" s="58">
        <v>6145833</v>
      </c>
      <c r="N540" s="58">
        <v>5729167</v>
      </c>
      <c r="O540" s="58">
        <v>5312500</v>
      </c>
      <c r="P540" s="58">
        <v>4895833</v>
      </c>
      <c r="Q540" s="58">
        <v>0</v>
      </c>
      <c r="R540" s="58"/>
      <c r="S540" s="58"/>
      <c r="T540" s="58">
        <v>6145833</v>
      </c>
      <c r="U540"/>
    </row>
    <row r="541" spans="1:21">
      <c r="A541" s="105" t="s">
        <v>614</v>
      </c>
      <c r="B541" s="58"/>
      <c r="C541" s="58"/>
      <c r="D541" s="58"/>
      <c r="E541" s="58"/>
      <c r="F541" s="58"/>
      <c r="G541" s="58"/>
      <c r="H541" s="58"/>
      <c r="I541" s="58"/>
      <c r="J541" s="58"/>
      <c r="K541" s="58"/>
      <c r="L541" s="58"/>
      <c r="M541" s="58">
        <v>134857.49</v>
      </c>
      <c r="N541" s="58">
        <v>132934.47</v>
      </c>
      <c r="O541" s="58">
        <v>126437.11</v>
      </c>
      <c r="P541" s="58">
        <v>105717.57</v>
      </c>
      <c r="Q541" s="58">
        <v>24272.45</v>
      </c>
      <c r="R541" s="58"/>
      <c r="S541" s="58"/>
      <c r="T541" s="58">
        <v>524219.08999999997</v>
      </c>
      <c r="U541"/>
    </row>
    <row r="542" spans="1:21">
      <c r="A542" s="105" t="s">
        <v>616</v>
      </c>
      <c r="B542" s="58"/>
      <c r="C542" s="58"/>
      <c r="D542" s="58"/>
      <c r="E542" s="58"/>
      <c r="F542" s="58"/>
      <c r="G542" s="58"/>
      <c r="H542" s="58"/>
      <c r="I542" s="58"/>
      <c r="J542" s="58"/>
      <c r="K542" s="58"/>
      <c r="L542" s="58"/>
      <c r="M542" s="58">
        <v>418868.66</v>
      </c>
      <c r="N542" s="58">
        <v>416666.68</v>
      </c>
      <c r="O542" s="58">
        <v>416666.68</v>
      </c>
      <c r="P542" s="58">
        <v>416666.68</v>
      </c>
      <c r="Q542" s="58">
        <v>4895832.67</v>
      </c>
      <c r="R542" s="58"/>
      <c r="S542" s="58"/>
      <c r="T542" s="58">
        <v>6564701.3700000001</v>
      </c>
      <c r="U542"/>
    </row>
    <row r="543" spans="1:21">
      <c r="A543" s="105" t="s">
        <v>612</v>
      </c>
      <c r="B543" s="58"/>
      <c r="C543" s="58"/>
      <c r="D543" s="58"/>
      <c r="E543" s="58"/>
      <c r="F543" s="58"/>
      <c r="G543" s="58"/>
      <c r="H543" s="58"/>
      <c r="I543" s="58"/>
      <c r="J543" s="58"/>
      <c r="K543" s="58">
        <v>0</v>
      </c>
      <c r="L543" s="58">
        <v>0</v>
      </c>
      <c r="M543" s="58">
        <v>0</v>
      </c>
      <c r="N543" s="58">
        <v>0</v>
      </c>
      <c r="O543" s="58">
        <v>0</v>
      </c>
      <c r="P543" s="58">
        <v>0</v>
      </c>
      <c r="Q543" s="58">
        <v>0</v>
      </c>
      <c r="R543" s="58">
        <v>0</v>
      </c>
      <c r="S543" s="58">
        <v>0</v>
      </c>
      <c r="T543" s="58">
        <v>0</v>
      </c>
      <c r="U543"/>
    </row>
    <row r="544" spans="1:21">
      <c r="A544" s="104" t="s">
        <v>490</v>
      </c>
      <c r="B544" s="58"/>
      <c r="C544" s="58"/>
      <c r="D544" s="58"/>
      <c r="E544" s="58"/>
      <c r="F544" s="58"/>
      <c r="G544" s="58"/>
      <c r="H544" s="58"/>
      <c r="I544" s="58"/>
      <c r="J544" s="58"/>
      <c r="K544" s="58"/>
      <c r="L544" s="58"/>
      <c r="M544" s="58"/>
      <c r="N544" s="58"/>
      <c r="O544" s="58"/>
      <c r="P544" s="58"/>
      <c r="Q544" s="58"/>
      <c r="R544" s="58"/>
      <c r="S544" s="58"/>
      <c r="T544" s="58"/>
      <c r="U544"/>
    </row>
    <row r="545" spans="1:21">
      <c r="A545" s="105" t="s">
        <v>622</v>
      </c>
      <c r="B545" s="58"/>
      <c r="C545" s="58"/>
      <c r="D545" s="58"/>
      <c r="E545" s="58"/>
      <c r="F545" s="58"/>
      <c r="G545" s="58"/>
      <c r="H545" s="58"/>
      <c r="I545" s="58"/>
      <c r="J545" s="58"/>
      <c r="K545" s="58"/>
      <c r="L545" s="58"/>
      <c r="M545" s="58">
        <v>14097596</v>
      </c>
      <c r="N545" s="58">
        <v>13697596</v>
      </c>
      <c r="O545" s="58">
        <v>6197596</v>
      </c>
      <c r="P545" s="58">
        <v>0</v>
      </c>
      <c r="Q545" s="58"/>
      <c r="R545" s="58"/>
      <c r="S545" s="58"/>
      <c r="T545" s="58">
        <v>14097596</v>
      </c>
      <c r="U545"/>
    </row>
    <row r="546" spans="1:21">
      <c r="A546" s="105" t="s">
        <v>614</v>
      </c>
      <c r="B546" s="58"/>
      <c r="C546" s="58"/>
      <c r="D546" s="58"/>
      <c r="E546" s="58"/>
      <c r="F546" s="58"/>
      <c r="G546" s="58"/>
      <c r="H546" s="58"/>
      <c r="I546" s="58"/>
      <c r="J546" s="58"/>
      <c r="K546" s="58"/>
      <c r="L546" s="58"/>
      <c r="M546" s="58">
        <v>2178272.11</v>
      </c>
      <c r="N546" s="58">
        <v>568877.17000000004</v>
      </c>
      <c r="O546" s="58">
        <v>886290.76</v>
      </c>
      <c r="P546" s="58">
        <v>238779.61</v>
      </c>
      <c r="Q546" s="58"/>
      <c r="R546" s="58"/>
      <c r="S546" s="58"/>
      <c r="T546" s="58">
        <v>3872219.65</v>
      </c>
      <c r="U546"/>
    </row>
    <row r="547" spans="1:21">
      <c r="A547" s="105" t="s">
        <v>616</v>
      </c>
      <c r="B547" s="58"/>
      <c r="C547" s="58"/>
      <c r="D547" s="58"/>
      <c r="E547" s="58"/>
      <c r="F547" s="58"/>
      <c r="G547" s="58"/>
      <c r="H547" s="58"/>
      <c r="I547" s="58"/>
      <c r="J547" s="58"/>
      <c r="K547" s="58"/>
      <c r="L547" s="58"/>
      <c r="M547" s="58">
        <v>400000</v>
      </c>
      <c r="N547" s="58">
        <v>400000</v>
      </c>
      <c r="O547" s="58">
        <v>500000</v>
      </c>
      <c r="P547" s="58">
        <v>286456.24</v>
      </c>
      <c r="Q547" s="58"/>
      <c r="R547" s="58"/>
      <c r="S547" s="58"/>
      <c r="T547" s="58">
        <v>1586456.24</v>
      </c>
      <c r="U547"/>
    </row>
    <row r="548" spans="1:21">
      <c r="A548" s="105" t="s">
        <v>612</v>
      </c>
      <c r="B548" s="58"/>
      <c r="C548" s="58"/>
      <c r="D548" s="58"/>
      <c r="E548" s="58"/>
      <c r="F548" s="58"/>
      <c r="G548" s="58"/>
      <c r="H548" s="58"/>
      <c r="I548" s="58"/>
      <c r="J548" s="58"/>
      <c r="K548" s="58"/>
      <c r="L548" s="58">
        <v>0</v>
      </c>
      <c r="M548" s="58">
        <v>0</v>
      </c>
      <c r="N548" s="58">
        <v>0</v>
      </c>
      <c r="O548" s="58">
        <v>7000000</v>
      </c>
      <c r="P548" s="58">
        <v>5911000</v>
      </c>
      <c r="Q548" s="58">
        <v>0</v>
      </c>
      <c r="R548" s="58">
        <v>0</v>
      </c>
      <c r="S548" s="58"/>
      <c r="T548" s="58">
        <v>12911000</v>
      </c>
      <c r="U548"/>
    </row>
    <row r="549" spans="1:21">
      <c r="A549" s="104" t="s">
        <v>497</v>
      </c>
      <c r="B549" s="58"/>
      <c r="C549" s="58"/>
      <c r="D549" s="58"/>
      <c r="E549" s="58"/>
      <c r="F549" s="58"/>
      <c r="G549" s="58"/>
      <c r="H549" s="58"/>
      <c r="I549" s="58"/>
      <c r="J549" s="58"/>
      <c r="K549" s="58"/>
      <c r="L549" s="58"/>
      <c r="M549" s="58"/>
      <c r="N549" s="58"/>
      <c r="O549" s="58"/>
      <c r="P549" s="58"/>
      <c r="Q549" s="58"/>
      <c r="R549" s="58"/>
      <c r="S549" s="58"/>
      <c r="T549" s="58"/>
      <c r="U549"/>
    </row>
    <row r="550" spans="1:21">
      <c r="A550" s="105" t="s">
        <v>622</v>
      </c>
      <c r="B550" s="58"/>
      <c r="C550" s="58"/>
      <c r="D550" s="58"/>
      <c r="E550" s="58"/>
      <c r="F550" s="58"/>
      <c r="G550" s="58"/>
      <c r="H550" s="58"/>
      <c r="I550" s="58"/>
      <c r="J550" s="58"/>
      <c r="K550" s="58"/>
      <c r="L550" s="58"/>
      <c r="M550" s="58">
        <v>6346156</v>
      </c>
      <c r="N550" s="58">
        <v>0</v>
      </c>
      <c r="O550" s="58"/>
      <c r="P550" s="58"/>
      <c r="Q550" s="58"/>
      <c r="R550" s="58"/>
      <c r="S550" s="58"/>
      <c r="T550" s="58">
        <v>6346156</v>
      </c>
      <c r="U550"/>
    </row>
    <row r="551" spans="1:21">
      <c r="A551" s="105" t="s">
        <v>614</v>
      </c>
      <c r="B551" s="58"/>
      <c r="C551" s="58"/>
      <c r="D551" s="58"/>
      <c r="E551" s="58"/>
      <c r="F551" s="58"/>
      <c r="G551" s="58"/>
      <c r="H551" s="58"/>
      <c r="I551" s="58"/>
      <c r="J551" s="58"/>
      <c r="K551" s="58"/>
      <c r="L551" s="58"/>
      <c r="M551" s="58">
        <v>797998.67</v>
      </c>
      <c r="N551" s="58">
        <v>203967.23</v>
      </c>
      <c r="O551" s="58"/>
      <c r="P551" s="58"/>
      <c r="Q551" s="58"/>
      <c r="R551" s="58"/>
      <c r="S551" s="58"/>
      <c r="T551" s="58">
        <v>1001965.9</v>
      </c>
      <c r="U551"/>
    </row>
    <row r="552" spans="1:21">
      <c r="A552" s="105" t="s">
        <v>616</v>
      </c>
      <c r="B552" s="58"/>
      <c r="C552" s="58"/>
      <c r="D552" s="58"/>
      <c r="E552" s="58"/>
      <c r="F552" s="58"/>
      <c r="G552" s="58"/>
      <c r="H552" s="58"/>
      <c r="I552" s="58"/>
      <c r="J552" s="58"/>
      <c r="K552" s="58"/>
      <c r="L552" s="58"/>
      <c r="M552" s="58">
        <v>398699.87</v>
      </c>
      <c r="N552" s="58">
        <v>398699.87</v>
      </c>
      <c r="O552" s="58"/>
      <c r="P552" s="58"/>
      <c r="Q552" s="58"/>
      <c r="R552" s="58"/>
      <c r="S552" s="58"/>
      <c r="T552" s="58">
        <v>797399.74</v>
      </c>
      <c r="U552"/>
    </row>
    <row r="553" spans="1:21">
      <c r="A553" s="105" t="s">
        <v>612</v>
      </c>
      <c r="B553" s="58"/>
      <c r="C553" s="58"/>
      <c r="D553" s="58"/>
      <c r="E553" s="58"/>
      <c r="F553" s="58"/>
      <c r="G553" s="58"/>
      <c r="H553" s="58"/>
      <c r="I553" s="58"/>
      <c r="J553" s="58"/>
      <c r="K553" s="58"/>
      <c r="L553" s="58">
        <v>0</v>
      </c>
      <c r="M553" s="58">
        <v>0</v>
      </c>
      <c r="N553" s="58">
        <v>5947000</v>
      </c>
      <c r="O553" s="58"/>
      <c r="P553" s="58"/>
      <c r="Q553" s="58"/>
      <c r="R553" s="58"/>
      <c r="S553" s="58"/>
      <c r="T553" s="58">
        <v>5947000</v>
      </c>
      <c r="U553"/>
    </row>
    <row r="554" spans="1:21">
      <c r="A554" s="104" t="s">
        <v>531</v>
      </c>
      <c r="B554" s="58"/>
      <c r="C554" s="58"/>
      <c r="D554" s="58"/>
      <c r="E554" s="58"/>
      <c r="F554" s="58"/>
      <c r="G554" s="58"/>
      <c r="H554" s="58"/>
      <c r="I554" s="58"/>
      <c r="J554" s="58"/>
      <c r="K554" s="58"/>
      <c r="L554" s="58"/>
      <c r="M554" s="58"/>
      <c r="N554" s="58"/>
      <c r="O554" s="58"/>
      <c r="P554" s="58"/>
      <c r="Q554" s="58"/>
      <c r="R554" s="58"/>
      <c r="S554" s="58"/>
      <c r="T554" s="58"/>
      <c r="U554"/>
    </row>
    <row r="555" spans="1:21">
      <c r="A555" s="105" t="s">
        <v>622</v>
      </c>
      <c r="B555" s="58"/>
      <c r="C555" s="58"/>
      <c r="D555" s="58"/>
      <c r="E555" s="58"/>
      <c r="F555" s="58"/>
      <c r="G555" s="58"/>
      <c r="H555" s="58"/>
      <c r="I555" s="58"/>
      <c r="J555" s="58"/>
      <c r="K555" s="58"/>
      <c r="L555" s="58"/>
      <c r="M555" s="58">
        <v>15345895</v>
      </c>
      <c r="N555" s="58">
        <v>14843394</v>
      </c>
      <c r="O555" s="58">
        <v>14315767</v>
      </c>
      <c r="P555" s="58">
        <v>13761759</v>
      </c>
      <c r="Q555" s="58">
        <v>13180051</v>
      </c>
      <c r="R555" s="58">
        <v>12569257</v>
      </c>
      <c r="S555" s="58">
        <v>11927924</v>
      </c>
      <c r="T555" s="58">
        <v>15345895</v>
      </c>
      <c r="U555"/>
    </row>
    <row r="556" spans="1:21">
      <c r="A556" s="105" t="s">
        <v>614</v>
      </c>
      <c r="B556" s="58"/>
      <c r="C556" s="58"/>
      <c r="D556" s="58"/>
      <c r="E556" s="58"/>
      <c r="F556" s="58"/>
      <c r="G556" s="58"/>
      <c r="H556" s="58"/>
      <c r="I556" s="58"/>
      <c r="J556" s="58"/>
      <c r="K556" s="58"/>
      <c r="L556" s="58"/>
      <c r="M556" s="58">
        <v>379293.12</v>
      </c>
      <c r="N556" s="58">
        <v>354279.17</v>
      </c>
      <c r="O556" s="58">
        <v>314084.15000000002</v>
      </c>
      <c r="P556" s="58">
        <v>274616.18</v>
      </c>
      <c r="Q556" s="58">
        <v>235330.67</v>
      </c>
      <c r="R556" s="58">
        <v>209667.15</v>
      </c>
      <c r="S556" s="58">
        <v>200460.45</v>
      </c>
      <c r="T556" s="58">
        <v>1967730.89</v>
      </c>
      <c r="U556"/>
    </row>
    <row r="557" spans="1:21">
      <c r="A557" s="105" t="s">
        <v>616</v>
      </c>
      <c r="B557" s="58"/>
      <c r="C557" s="58"/>
      <c r="D557" s="58"/>
      <c r="E557" s="58"/>
      <c r="F557" s="58"/>
      <c r="G557" s="58"/>
      <c r="H557" s="58"/>
      <c r="I557" s="58"/>
      <c r="J557" s="58"/>
      <c r="K557" s="58"/>
      <c r="L557" s="58"/>
      <c r="M557" s="58">
        <v>502501.49</v>
      </c>
      <c r="N557" s="58">
        <v>502501.49</v>
      </c>
      <c r="O557" s="58">
        <v>527626.56000000006</v>
      </c>
      <c r="P557" s="58">
        <v>554007.9</v>
      </c>
      <c r="Q557" s="58">
        <v>581708.29</v>
      </c>
      <c r="R557" s="58">
        <v>610793.69999999995</v>
      </c>
      <c r="S557" s="58">
        <v>641333.37</v>
      </c>
      <c r="T557" s="58">
        <v>3920472.8</v>
      </c>
      <c r="U557"/>
    </row>
    <row r="558" spans="1:21">
      <c r="A558" s="105" t="s">
        <v>612</v>
      </c>
      <c r="B558" s="58"/>
      <c r="C558" s="58"/>
      <c r="D558" s="58"/>
      <c r="E558" s="58"/>
      <c r="F558" s="58"/>
      <c r="G558" s="58"/>
      <c r="H558" s="58"/>
      <c r="I558" s="58"/>
      <c r="J558" s="58"/>
      <c r="K558" s="58"/>
      <c r="L558" s="58">
        <v>0</v>
      </c>
      <c r="M558" s="58">
        <v>0</v>
      </c>
      <c r="N558" s="58">
        <v>0</v>
      </c>
      <c r="O558" s="58">
        <v>0</v>
      </c>
      <c r="P558" s="58">
        <v>0</v>
      </c>
      <c r="Q558" s="58">
        <v>0</v>
      </c>
      <c r="R558" s="58">
        <v>0</v>
      </c>
      <c r="S558" s="58">
        <v>0</v>
      </c>
      <c r="T558" s="58">
        <v>0</v>
      </c>
      <c r="U558"/>
    </row>
    <row r="559" spans="1:21">
      <c r="A559" s="104" t="s">
        <v>350</v>
      </c>
      <c r="B559" s="58"/>
      <c r="C559" s="58"/>
      <c r="D559" s="58"/>
      <c r="E559" s="58"/>
      <c r="F559" s="58"/>
      <c r="G559" s="58"/>
      <c r="H559" s="58"/>
      <c r="I559" s="58"/>
      <c r="J559" s="58"/>
      <c r="K559" s="58"/>
      <c r="L559" s="58"/>
      <c r="M559" s="58"/>
      <c r="N559" s="58"/>
      <c r="O559" s="58"/>
      <c r="P559" s="58"/>
      <c r="Q559" s="58"/>
      <c r="R559" s="58"/>
      <c r="S559" s="58"/>
      <c r="T559" s="58"/>
      <c r="U559"/>
    </row>
    <row r="560" spans="1:21">
      <c r="A560" s="105" t="s">
        <v>622</v>
      </c>
      <c r="B560" s="58"/>
      <c r="C560" s="58"/>
      <c r="D560" s="58"/>
      <c r="E560" s="58"/>
      <c r="F560" s="58"/>
      <c r="G560" s="58"/>
      <c r="H560" s="58"/>
      <c r="I560" s="58"/>
      <c r="J560" s="58"/>
      <c r="K560" s="58"/>
      <c r="L560" s="58"/>
      <c r="M560" s="58">
        <v>4000000</v>
      </c>
      <c r="N560" s="58"/>
      <c r="O560" s="58"/>
      <c r="P560" s="58"/>
      <c r="Q560" s="58"/>
      <c r="R560" s="58"/>
      <c r="S560" s="58"/>
      <c r="T560" s="58">
        <v>4000000</v>
      </c>
      <c r="U560"/>
    </row>
    <row r="561" spans="1:21">
      <c r="A561" s="105" t="s">
        <v>614</v>
      </c>
      <c r="B561" s="58"/>
      <c r="C561" s="58"/>
      <c r="D561" s="58"/>
      <c r="E561" s="58"/>
      <c r="F561" s="58"/>
      <c r="G561" s="58"/>
      <c r="H561" s="58"/>
      <c r="I561" s="58"/>
      <c r="J561" s="58"/>
      <c r="K561" s="58"/>
      <c r="L561" s="58"/>
      <c r="M561" s="58">
        <v>146243.19</v>
      </c>
      <c r="N561" s="58"/>
      <c r="O561" s="58"/>
      <c r="P561" s="58"/>
      <c r="Q561" s="58"/>
      <c r="R561" s="58"/>
      <c r="S561" s="58"/>
      <c r="T561" s="58">
        <v>146243.19</v>
      </c>
      <c r="U561"/>
    </row>
    <row r="562" spans="1:21">
      <c r="A562" s="105" t="s">
        <v>616</v>
      </c>
      <c r="B562" s="58"/>
      <c r="C562" s="58"/>
      <c r="D562" s="58"/>
      <c r="E562" s="58"/>
      <c r="F562" s="58"/>
      <c r="G562" s="58"/>
      <c r="H562" s="58"/>
      <c r="I562" s="58"/>
      <c r="J562" s="58"/>
      <c r="K562" s="58"/>
      <c r="L562" s="58"/>
      <c r="M562" s="58">
        <v>185369.15</v>
      </c>
      <c r="N562" s="58"/>
      <c r="O562" s="58"/>
      <c r="P562" s="58"/>
      <c r="Q562" s="58"/>
      <c r="R562" s="58"/>
      <c r="S562" s="58"/>
      <c r="T562" s="58">
        <v>185369.15</v>
      </c>
      <c r="U562"/>
    </row>
    <row r="563" spans="1:21">
      <c r="A563" s="105" t="s">
        <v>612</v>
      </c>
      <c r="B563" s="58"/>
      <c r="C563" s="58"/>
      <c r="D563" s="58"/>
      <c r="E563" s="58"/>
      <c r="F563" s="58"/>
      <c r="G563" s="58"/>
      <c r="H563" s="58"/>
      <c r="I563" s="58"/>
      <c r="J563" s="58"/>
      <c r="K563" s="58"/>
      <c r="L563" s="58">
        <v>0</v>
      </c>
      <c r="M563" s="58">
        <v>0</v>
      </c>
      <c r="N563" s="58">
        <v>3815000</v>
      </c>
      <c r="O563" s="58">
        <v>0</v>
      </c>
      <c r="P563" s="58"/>
      <c r="Q563" s="58"/>
      <c r="R563" s="58">
        <v>0</v>
      </c>
      <c r="S563" s="58">
        <v>0</v>
      </c>
      <c r="T563" s="58">
        <v>3815000</v>
      </c>
      <c r="U563"/>
    </row>
    <row r="564" spans="1:21">
      <c r="A564" s="104" t="s">
        <v>506</v>
      </c>
      <c r="B564" s="58"/>
      <c r="C564" s="58"/>
      <c r="D564" s="58"/>
      <c r="E564" s="58"/>
      <c r="F564" s="58"/>
      <c r="G564" s="58"/>
      <c r="H564" s="58"/>
      <c r="I564" s="58"/>
      <c r="J564" s="58"/>
      <c r="K564" s="58"/>
      <c r="L564" s="58"/>
      <c r="M564" s="58"/>
      <c r="N564" s="58"/>
      <c r="O564" s="58"/>
      <c r="P564" s="58"/>
      <c r="Q564" s="58"/>
      <c r="R564" s="58"/>
      <c r="S564" s="58"/>
      <c r="T564" s="58"/>
      <c r="U564"/>
    </row>
    <row r="565" spans="1:21">
      <c r="A565" s="105" t="s">
        <v>622</v>
      </c>
      <c r="B565" s="58"/>
      <c r="C565" s="58"/>
      <c r="D565" s="58"/>
      <c r="E565" s="58"/>
      <c r="F565" s="58"/>
      <c r="G565" s="58"/>
      <c r="H565" s="58"/>
      <c r="I565" s="58"/>
      <c r="J565" s="58"/>
      <c r="K565" s="58"/>
      <c r="L565" s="58"/>
      <c r="M565" s="58"/>
      <c r="N565" s="58">
        <v>3961464</v>
      </c>
      <c r="O565" s="58">
        <v>3835537</v>
      </c>
      <c r="P565" s="58">
        <v>3703195</v>
      </c>
      <c r="Q565" s="58">
        <v>3564110</v>
      </c>
      <c r="R565" s="58">
        <v>3417940</v>
      </c>
      <c r="S565" s="58">
        <v>3264323</v>
      </c>
      <c r="T565" s="58">
        <v>3961464</v>
      </c>
      <c r="U565"/>
    </row>
    <row r="566" spans="1:21">
      <c r="A566" s="105" t="s">
        <v>614</v>
      </c>
      <c r="B566" s="58"/>
      <c r="C566" s="58"/>
      <c r="D566" s="58"/>
      <c r="E566" s="58"/>
      <c r="F566" s="58"/>
      <c r="G566" s="58"/>
      <c r="H566" s="58"/>
      <c r="I566" s="58"/>
      <c r="J566" s="58"/>
      <c r="K566" s="58"/>
      <c r="L566" s="58"/>
      <c r="M566" s="58"/>
      <c r="N566" s="58">
        <v>135359.41</v>
      </c>
      <c r="O566" s="58">
        <v>176157.01</v>
      </c>
      <c r="P566" s="58">
        <v>170382.87</v>
      </c>
      <c r="Q566" s="58">
        <v>164431.48000000001</v>
      </c>
      <c r="R566" s="58">
        <v>157826.63</v>
      </c>
      <c r="S566" s="58">
        <v>131234.70000000001</v>
      </c>
      <c r="T566" s="58">
        <v>935392.10000000009</v>
      </c>
      <c r="U566"/>
    </row>
    <row r="567" spans="1:21">
      <c r="A567" s="105" t="s">
        <v>616</v>
      </c>
      <c r="B567" s="58"/>
      <c r="C567" s="58"/>
      <c r="D567" s="58"/>
      <c r="E567" s="58"/>
      <c r="F567" s="58"/>
      <c r="G567" s="58"/>
      <c r="H567" s="58"/>
      <c r="I567" s="58"/>
      <c r="J567" s="58"/>
      <c r="K567" s="58"/>
      <c r="L567" s="58"/>
      <c r="M567" s="58"/>
      <c r="N567" s="58">
        <v>90422.79</v>
      </c>
      <c r="O567" s="58">
        <v>125926.97</v>
      </c>
      <c r="P567" s="58">
        <v>132342.35999999999</v>
      </c>
      <c r="Q567" s="58">
        <v>139084.59</v>
      </c>
      <c r="R567" s="58">
        <v>146170.31</v>
      </c>
      <c r="S567" s="58">
        <v>153616.99</v>
      </c>
      <c r="T567" s="58">
        <v>787564.01</v>
      </c>
      <c r="U567"/>
    </row>
    <row r="568" spans="1:21">
      <c r="A568" s="105" t="s">
        <v>612</v>
      </c>
      <c r="B568" s="58"/>
      <c r="C568" s="58"/>
      <c r="D568" s="58"/>
      <c r="E568" s="58"/>
      <c r="F568" s="58"/>
      <c r="G568" s="58"/>
      <c r="H568" s="58"/>
      <c r="I568" s="58"/>
      <c r="J568" s="58"/>
      <c r="K568" s="58"/>
      <c r="L568" s="58"/>
      <c r="M568" s="58">
        <v>0</v>
      </c>
      <c r="N568" s="58">
        <v>0</v>
      </c>
      <c r="O568" s="58">
        <v>0</v>
      </c>
      <c r="P568" s="58">
        <v>0</v>
      </c>
      <c r="Q568" s="58">
        <v>0</v>
      </c>
      <c r="R568" s="58">
        <v>0</v>
      </c>
      <c r="S568" s="58">
        <v>0</v>
      </c>
      <c r="T568" s="58">
        <v>0</v>
      </c>
      <c r="U568"/>
    </row>
    <row r="569" spans="1:21">
      <c r="A569" s="104" t="s">
        <v>352</v>
      </c>
      <c r="B569" s="58"/>
      <c r="C569" s="58"/>
      <c r="D569" s="58"/>
      <c r="E569" s="58"/>
      <c r="F569" s="58"/>
      <c r="G569" s="58"/>
      <c r="H569" s="58"/>
      <c r="I569" s="58"/>
      <c r="J569" s="58"/>
      <c r="K569" s="58"/>
      <c r="L569" s="58"/>
      <c r="M569" s="58"/>
      <c r="N569" s="58"/>
      <c r="O569" s="58"/>
      <c r="P569" s="58"/>
      <c r="Q569" s="58"/>
      <c r="R569" s="58"/>
      <c r="S569" s="58"/>
      <c r="T569" s="58"/>
      <c r="U569"/>
    </row>
    <row r="570" spans="1:21">
      <c r="A570" s="105" t="s">
        <v>622</v>
      </c>
      <c r="B570" s="58"/>
      <c r="C570" s="58"/>
      <c r="D570" s="58"/>
      <c r="E570" s="58"/>
      <c r="F570" s="58"/>
      <c r="G570" s="58"/>
      <c r="H570" s="58"/>
      <c r="I570" s="58"/>
      <c r="J570" s="58"/>
      <c r="K570" s="58"/>
      <c r="L570" s="58"/>
      <c r="M570" s="58">
        <v>19853069.52</v>
      </c>
      <c r="N570" s="58">
        <v>19853070</v>
      </c>
      <c r="O570" s="58">
        <v>19246750</v>
      </c>
      <c r="P570" s="58">
        <v>18609542</v>
      </c>
      <c r="Q570" s="58">
        <v>17939871</v>
      </c>
      <c r="R570" s="58">
        <v>17236083</v>
      </c>
      <c r="S570" s="58">
        <v>16496440</v>
      </c>
      <c r="T570" s="58">
        <v>19853070</v>
      </c>
      <c r="U570"/>
    </row>
    <row r="571" spans="1:21">
      <c r="A571" s="105" t="s">
        <v>614</v>
      </c>
      <c r="B571" s="58"/>
      <c r="C571" s="58"/>
      <c r="D571" s="58"/>
      <c r="E571" s="58"/>
      <c r="F571" s="58"/>
      <c r="G571" s="58"/>
      <c r="H571" s="58"/>
      <c r="I571" s="58"/>
      <c r="J571" s="58"/>
      <c r="K571" s="58"/>
      <c r="L571" s="58"/>
      <c r="M571" s="58">
        <v>227857.53</v>
      </c>
      <c r="N571" s="58">
        <v>448543.2</v>
      </c>
      <c r="O571" s="58">
        <v>887178.34</v>
      </c>
      <c r="P571" s="58">
        <v>859254.07</v>
      </c>
      <c r="Q571" s="58">
        <v>830496.9</v>
      </c>
      <c r="R571" s="58">
        <v>798506.77</v>
      </c>
      <c r="S571" s="58">
        <v>766651.98</v>
      </c>
      <c r="T571" s="58">
        <v>4818488.7899999991</v>
      </c>
      <c r="U571"/>
    </row>
    <row r="572" spans="1:21">
      <c r="A572" s="105" t="s">
        <v>616</v>
      </c>
      <c r="B572" s="58"/>
      <c r="C572" s="58"/>
      <c r="D572" s="58"/>
      <c r="E572" s="58"/>
      <c r="F572" s="58"/>
      <c r="G572" s="58"/>
      <c r="H572" s="58"/>
      <c r="I572" s="58"/>
      <c r="J572" s="58"/>
      <c r="K572" s="58"/>
      <c r="L572" s="58"/>
      <c r="M572" s="58">
        <v>146930.48000000001</v>
      </c>
      <c r="N572" s="58">
        <v>146930.48000000001</v>
      </c>
      <c r="O572" s="58">
        <v>606319.24</v>
      </c>
      <c r="P572" s="58">
        <v>637208.38</v>
      </c>
      <c r="Q572" s="58">
        <v>669671.18999999994</v>
      </c>
      <c r="R572" s="58">
        <v>703787.81</v>
      </c>
      <c r="S572" s="58">
        <v>739642.52</v>
      </c>
      <c r="T572" s="58">
        <v>3650490.1</v>
      </c>
      <c r="U572"/>
    </row>
    <row r="573" spans="1:21">
      <c r="A573" s="105" t="s">
        <v>612</v>
      </c>
      <c r="B573" s="58"/>
      <c r="C573" s="58"/>
      <c r="D573" s="58"/>
      <c r="E573" s="58"/>
      <c r="F573" s="58"/>
      <c r="G573" s="58"/>
      <c r="H573" s="58"/>
      <c r="I573" s="58"/>
      <c r="J573" s="58"/>
      <c r="K573" s="58"/>
      <c r="L573" s="58">
        <v>0</v>
      </c>
      <c r="M573" s="58">
        <v>0</v>
      </c>
      <c r="N573" s="58">
        <v>0</v>
      </c>
      <c r="O573" s="58">
        <v>0</v>
      </c>
      <c r="P573" s="58">
        <v>0</v>
      </c>
      <c r="Q573" s="58">
        <v>0</v>
      </c>
      <c r="R573" s="58">
        <v>0</v>
      </c>
      <c r="S573" s="58">
        <v>0</v>
      </c>
      <c r="T573" s="58">
        <v>0</v>
      </c>
      <c r="U573"/>
    </row>
    <row r="574" spans="1:21">
      <c r="A574" s="104" t="s">
        <v>257</v>
      </c>
      <c r="B574" s="58"/>
      <c r="C574" s="58"/>
      <c r="D574" s="58"/>
      <c r="E574" s="58"/>
      <c r="F574" s="58"/>
      <c r="G574" s="58"/>
      <c r="H574" s="58"/>
      <c r="I574" s="58"/>
      <c r="J574" s="58"/>
      <c r="K574" s="58"/>
      <c r="L574" s="58"/>
      <c r="M574" s="58"/>
      <c r="N574" s="58"/>
      <c r="O574" s="58"/>
      <c r="P574" s="58"/>
      <c r="Q574" s="58"/>
      <c r="R574" s="58"/>
      <c r="S574" s="58"/>
      <c r="T574" s="58"/>
      <c r="U574"/>
    </row>
    <row r="575" spans="1:21">
      <c r="A575" s="105" t="s">
        <v>622</v>
      </c>
      <c r="B575" s="58"/>
      <c r="C575" s="58"/>
      <c r="D575" s="58"/>
      <c r="E575" s="58"/>
      <c r="F575" s="58"/>
      <c r="G575" s="58"/>
      <c r="H575" s="58"/>
      <c r="I575" s="58"/>
      <c r="J575" s="58"/>
      <c r="K575" s="58"/>
      <c r="L575" s="58"/>
      <c r="M575" s="58">
        <v>8792725</v>
      </c>
      <c r="N575" s="58">
        <v>8546563</v>
      </c>
      <c r="O575" s="58">
        <v>8288093</v>
      </c>
      <c r="P575" s="58">
        <v>8016699</v>
      </c>
      <c r="Q575" s="58">
        <v>7731736</v>
      </c>
      <c r="R575" s="58">
        <v>0</v>
      </c>
      <c r="S575" s="58"/>
      <c r="T575" s="58">
        <v>8792725</v>
      </c>
      <c r="U575"/>
    </row>
    <row r="576" spans="1:21">
      <c r="A576" s="105" t="s">
        <v>614</v>
      </c>
      <c r="B576" s="58"/>
      <c r="C576" s="58"/>
      <c r="D576" s="58"/>
      <c r="E576" s="58"/>
      <c r="F576" s="58"/>
      <c r="G576" s="58"/>
      <c r="H576" s="58"/>
      <c r="I576" s="58"/>
      <c r="J576" s="58"/>
      <c r="K576" s="58"/>
      <c r="L576" s="58"/>
      <c r="M576" s="58">
        <v>320042.99</v>
      </c>
      <c r="N576" s="58">
        <v>320042.99</v>
      </c>
      <c r="O576" s="58">
        <v>256491.86</v>
      </c>
      <c r="P576" s="58">
        <v>248734.88</v>
      </c>
      <c r="Q576" s="58">
        <v>241249.21</v>
      </c>
      <c r="R576" s="58">
        <v>232037.99</v>
      </c>
      <c r="S576" s="58"/>
      <c r="T576" s="58">
        <v>1618599.92</v>
      </c>
      <c r="U576"/>
    </row>
    <row r="577" spans="1:21">
      <c r="A577" s="105" t="s">
        <v>616</v>
      </c>
      <c r="B577" s="58"/>
      <c r="C577" s="58"/>
      <c r="D577" s="58"/>
      <c r="E577" s="58"/>
      <c r="F577" s="58"/>
      <c r="G577" s="58"/>
      <c r="H577" s="58"/>
      <c r="I577" s="58"/>
      <c r="J577" s="58"/>
      <c r="K577" s="58"/>
      <c r="L577" s="58"/>
      <c r="M577" s="58">
        <v>242162.08</v>
      </c>
      <c r="N577" s="58">
        <v>246162.08</v>
      </c>
      <c r="O577" s="58">
        <v>258470.18</v>
      </c>
      <c r="P577" s="58">
        <v>271393.69</v>
      </c>
      <c r="Q577" s="58">
        <v>284963.37</v>
      </c>
      <c r="R577" s="58">
        <v>299211.53999999998</v>
      </c>
      <c r="S577" s="58"/>
      <c r="T577" s="58">
        <v>1602362.94</v>
      </c>
      <c r="U577"/>
    </row>
    <row r="578" spans="1:21">
      <c r="A578" s="105" t="s">
        <v>612</v>
      </c>
      <c r="B578" s="58"/>
      <c r="C578" s="58"/>
      <c r="D578" s="58"/>
      <c r="E578" s="58"/>
      <c r="F578" s="58"/>
      <c r="G578" s="58"/>
      <c r="H578" s="58">
        <v>0</v>
      </c>
      <c r="I578" s="58">
        <v>0</v>
      </c>
      <c r="J578" s="58">
        <v>0</v>
      </c>
      <c r="K578" s="58"/>
      <c r="L578" s="58">
        <v>0</v>
      </c>
      <c r="M578" s="58">
        <v>0</v>
      </c>
      <c r="N578" s="58">
        <v>0</v>
      </c>
      <c r="O578" s="58">
        <v>0</v>
      </c>
      <c r="P578" s="58">
        <v>0</v>
      </c>
      <c r="Q578" s="58">
        <v>0</v>
      </c>
      <c r="R578" s="58">
        <v>7433000</v>
      </c>
      <c r="S578" s="58">
        <v>0</v>
      </c>
      <c r="T578" s="58">
        <v>7433000</v>
      </c>
      <c r="U578"/>
    </row>
    <row r="579" spans="1:21">
      <c r="A579" s="104" t="s">
        <v>495</v>
      </c>
      <c r="B579" s="58"/>
      <c r="C579" s="58"/>
      <c r="D579" s="58"/>
      <c r="E579" s="58"/>
      <c r="F579" s="58"/>
      <c r="G579" s="58"/>
      <c r="H579" s="58"/>
      <c r="I579" s="58"/>
      <c r="J579" s="58"/>
      <c r="K579" s="58"/>
      <c r="L579" s="58"/>
      <c r="M579" s="58"/>
      <c r="N579" s="58"/>
      <c r="O579" s="58"/>
      <c r="P579" s="58"/>
      <c r="Q579" s="58"/>
      <c r="R579" s="58"/>
      <c r="S579" s="58"/>
      <c r="T579" s="58"/>
      <c r="U579"/>
    </row>
    <row r="580" spans="1:21">
      <c r="A580" s="105" t="s">
        <v>622</v>
      </c>
      <c r="B580" s="58"/>
      <c r="C580" s="58"/>
      <c r="D580" s="58"/>
      <c r="E580" s="58"/>
      <c r="F580" s="58"/>
      <c r="G580" s="58"/>
      <c r="H580" s="58"/>
      <c r="I580" s="58"/>
      <c r="J580" s="58"/>
      <c r="K580" s="58"/>
      <c r="L580" s="58"/>
      <c r="M580" s="58">
        <v>8290530</v>
      </c>
      <c r="N580" s="58">
        <v>7628767</v>
      </c>
      <c r="O580" s="58">
        <v>6963658</v>
      </c>
      <c r="P580" s="58">
        <v>6295001</v>
      </c>
      <c r="Q580" s="58">
        <v>5622584</v>
      </c>
      <c r="R580" s="58">
        <v>4946181</v>
      </c>
      <c r="S580" s="58">
        <v>4265553</v>
      </c>
      <c r="T580" s="58">
        <v>8290530</v>
      </c>
      <c r="U580"/>
    </row>
    <row r="581" spans="1:21">
      <c r="A581" s="105" t="s">
        <v>614</v>
      </c>
      <c r="B581" s="58"/>
      <c r="C581" s="58"/>
      <c r="D581" s="58"/>
      <c r="E581" s="58"/>
      <c r="F581" s="58"/>
      <c r="G581" s="58"/>
      <c r="H581" s="58"/>
      <c r="I581" s="58"/>
      <c r="J581" s="58"/>
      <c r="K581" s="58"/>
      <c r="L581" s="58"/>
      <c r="M581" s="58">
        <v>432892.34</v>
      </c>
      <c r="N581" s="58">
        <v>432892.34</v>
      </c>
      <c r="O581" s="58">
        <v>398338.21</v>
      </c>
      <c r="P581" s="58">
        <v>363609.33</v>
      </c>
      <c r="Q581" s="58">
        <v>329595.76</v>
      </c>
      <c r="R581" s="58">
        <v>293584.78000000003</v>
      </c>
      <c r="S581" s="58">
        <v>258266.21</v>
      </c>
      <c r="T581" s="58">
        <v>2509178.9700000002</v>
      </c>
      <c r="U581"/>
    </row>
    <row r="582" spans="1:21">
      <c r="A582" s="105" t="s">
        <v>616</v>
      </c>
      <c r="B582" s="58"/>
      <c r="C582" s="58"/>
      <c r="D582" s="58"/>
      <c r="E582" s="58"/>
      <c r="F582" s="58"/>
      <c r="G582" s="58"/>
      <c r="H582" s="58"/>
      <c r="I582" s="58"/>
      <c r="J582" s="58"/>
      <c r="K582" s="58"/>
      <c r="L582" s="58"/>
      <c r="M582" s="58">
        <v>661762.86</v>
      </c>
      <c r="N582" s="58">
        <v>661762.86</v>
      </c>
      <c r="O582" s="58">
        <v>665109.46</v>
      </c>
      <c r="P582" s="58">
        <v>668656.88</v>
      </c>
      <c r="Q582" s="58">
        <v>672417.13</v>
      </c>
      <c r="R582" s="58">
        <v>676403.01</v>
      </c>
      <c r="S582" s="58">
        <v>680628.04</v>
      </c>
      <c r="T582" s="58">
        <v>4686740.24</v>
      </c>
      <c r="U582"/>
    </row>
    <row r="583" spans="1:21">
      <c r="A583" s="105" t="s">
        <v>612</v>
      </c>
      <c r="B583" s="58"/>
      <c r="C583" s="58"/>
      <c r="D583" s="58"/>
      <c r="E583" s="58"/>
      <c r="F583" s="58"/>
      <c r="G583" s="58"/>
      <c r="H583" s="58"/>
      <c r="I583" s="58"/>
      <c r="J583" s="58"/>
      <c r="K583" s="58"/>
      <c r="L583" s="58">
        <v>0</v>
      </c>
      <c r="M583" s="58">
        <v>0</v>
      </c>
      <c r="N583" s="58">
        <v>0</v>
      </c>
      <c r="O583" s="58">
        <v>0</v>
      </c>
      <c r="P583" s="58">
        <v>0</v>
      </c>
      <c r="Q583" s="58">
        <v>0</v>
      </c>
      <c r="R583" s="58">
        <v>0</v>
      </c>
      <c r="S583" s="58">
        <v>0</v>
      </c>
      <c r="T583" s="58">
        <v>0</v>
      </c>
      <c r="U583"/>
    </row>
    <row r="584" spans="1:21">
      <c r="A584" s="104" t="s">
        <v>493</v>
      </c>
      <c r="B584" s="58"/>
      <c r="C584" s="58"/>
      <c r="D584" s="58"/>
      <c r="E584" s="58"/>
      <c r="F584" s="58"/>
      <c r="G584" s="58"/>
      <c r="H584" s="58"/>
      <c r="I584" s="58"/>
      <c r="J584" s="58"/>
      <c r="K584" s="58"/>
      <c r="L584" s="58"/>
      <c r="M584" s="58"/>
      <c r="N584" s="58"/>
      <c r="O584" s="58"/>
      <c r="P584" s="58"/>
      <c r="Q584" s="58"/>
      <c r="R584" s="58"/>
      <c r="S584" s="58"/>
      <c r="T584" s="58"/>
      <c r="U584"/>
    </row>
    <row r="585" spans="1:21">
      <c r="A585" s="105" t="s">
        <v>622</v>
      </c>
      <c r="B585" s="58"/>
      <c r="C585" s="58"/>
      <c r="D585" s="58"/>
      <c r="E585" s="58"/>
      <c r="F585" s="58"/>
      <c r="G585" s="58"/>
      <c r="H585" s="58"/>
      <c r="I585" s="58"/>
      <c r="J585" s="58"/>
      <c r="K585" s="58"/>
      <c r="L585" s="58"/>
      <c r="M585" s="58">
        <v>9599787</v>
      </c>
      <c r="N585" s="58">
        <v>9228284</v>
      </c>
      <c r="O585" s="58">
        <v>8838205</v>
      </c>
      <c r="P585" s="58">
        <v>4928623</v>
      </c>
      <c r="Q585" s="58">
        <v>0</v>
      </c>
      <c r="R585" s="58"/>
      <c r="S585" s="58"/>
      <c r="T585" s="58">
        <v>9599787</v>
      </c>
      <c r="U585"/>
    </row>
    <row r="586" spans="1:21">
      <c r="A586" s="105" t="s">
        <v>614</v>
      </c>
      <c r="B586" s="58"/>
      <c r="C586" s="58"/>
      <c r="D586" s="58"/>
      <c r="E586" s="58"/>
      <c r="F586" s="58"/>
      <c r="G586" s="58"/>
      <c r="H586" s="58"/>
      <c r="I586" s="58"/>
      <c r="J586" s="58"/>
      <c r="K586" s="58"/>
      <c r="L586" s="58"/>
      <c r="M586" s="58">
        <v>583013.76</v>
      </c>
      <c r="N586" s="58">
        <v>583013.76</v>
      </c>
      <c r="O586" s="58">
        <v>1193521.5</v>
      </c>
      <c r="P586" s="58">
        <v>267932.65000000002</v>
      </c>
      <c r="Q586" s="58">
        <v>137541.43</v>
      </c>
      <c r="R586" s="58"/>
      <c r="S586" s="58"/>
      <c r="T586" s="58">
        <v>2765023.1</v>
      </c>
      <c r="U586"/>
    </row>
    <row r="587" spans="1:21">
      <c r="A587" s="105" t="s">
        <v>616</v>
      </c>
      <c r="B587" s="58"/>
      <c r="C587" s="58"/>
      <c r="D587" s="58"/>
      <c r="E587" s="58"/>
      <c r="F587" s="58"/>
      <c r="G587" s="58"/>
      <c r="H587" s="58"/>
      <c r="I587" s="58"/>
      <c r="J587" s="58"/>
      <c r="K587" s="58"/>
      <c r="L587" s="58"/>
      <c r="M587" s="58">
        <v>371503.53</v>
      </c>
      <c r="N587" s="58">
        <v>371503.54</v>
      </c>
      <c r="O587" s="58">
        <v>390078.71</v>
      </c>
      <c r="P587" s="58">
        <v>409582.65</v>
      </c>
      <c r="Q587" s="58">
        <v>0</v>
      </c>
      <c r="R587" s="58"/>
      <c r="S587" s="58"/>
      <c r="T587" s="58">
        <v>1542668.4300000002</v>
      </c>
      <c r="U587"/>
    </row>
    <row r="588" spans="1:21">
      <c r="A588" s="105" t="s">
        <v>612</v>
      </c>
      <c r="B588" s="58"/>
      <c r="C588" s="58"/>
      <c r="D588" s="58"/>
      <c r="E588" s="58"/>
      <c r="F588" s="58"/>
      <c r="G588" s="58"/>
      <c r="H588" s="58"/>
      <c r="I588" s="58"/>
      <c r="J588" s="58"/>
      <c r="K588" s="58"/>
      <c r="L588" s="58">
        <v>0</v>
      </c>
      <c r="M588" s="58">
        <v>0</v>
      </c>
      <c r="N588" s="58">
        <v>0</v>
      </c>
      <c r="O588" s="58">
        <v>0</v>
      </c>
      <c r="P588" s="58">
        <v>3500000</v>
      </c>
      <c r="Q588" s="58">
        <v>4929000</v>
      </c>
      <c r="R588" s="58">
        <v>0</v>
      </c>
      <c r="S588" s="58"/>
      <c r="T588" s="58">
        <v>8429000</v>
      </c>
      <c r="U588"/>
    </row>
    <row r="589" spans="1:21">
      <c r="A589" s="104" t="s">
        <v>498</v>
      </c>
      <c r="B589" s="58"/>
      <c r="C589" s="58"/>
      <c r="D589" s="58"/>
      <c r="E589" s="58"/>
      <c r="F589" s="58"/>
      <c r="G589" s="58"/>
      <c r="H589" s="58"/>
      <c r="I589" s="58"/>
      <c r="J589" s="58"/>
      <c r="K589" s="58"/>
      <c r="L589" s="58"/>
      <c r="M589" s="58"/>
      <c r="N589" s="58"/>
      <c r="O589" s="58"/>
      <c r="P589" s="58"/>
      <c r="Q589" s="58"/>
      <c r="R589" s="58"/>
      <c r="S589" s="58"/>
      <c r="T589" s="58"/>
      <c r="U589"/>
    </row>
    <row r="590" spans="1:21">
      <c r="A590" s="105" t="s">
        <v>622</v>
      </c>
      <c r="B590" s="58"/>
      <c r="C590" s="58"/>
      <c r="D590" s="58"/>
      <c r="E590" s="58"/>
      <c r="F590" s="58"/>
      <c r="G590" s="58"/>
      <c r="H590" s="58"/>
      <c r="I590" s="58"/>
      <c r="J590" s="58"/>
      <c r="K590" s="58"/>
      <c r="L590" s="58"/>
      <c r="M590" s="58"/>
      <c r="N590" s="58">
        <v>16712087</v>
      </c>
      <c r="O590" s="58">
        <v>16142272</v>
      </c>
      <c r="P590" s="58">
        <v>15543965</v>
      </c>
      <c r="Q590" s="58">
        <v>14915744</v>
      </c>
      <c r="R590" s="58">
        <v>14256111</v>
      </c>
      <c r="S590" s="58">
        <v>13563497</v>
      </c>
      <c r="T590" s="58">
        <v>16712087</v>
      </c>
      <c r="U590"/>
    </row>
    <row r="591" spans="1:21">
      <c r="A591" s="105" t="s">
        <v>614</v>
      </c>
      <c r="B591" s="58"/>
      <c r="C591" s="58"/>
      <c r="D591" s="58"/>
      <c r="E591" s="58"/>
      <c r="F591" s="58"/>
      <c r="G591" s="58"/>
      <c r="H591" s="58"/>
      <c r="I591" s="58"/>
      <c r="J591" s="58"/>
      <c r="K591" s="58"/>
      <c r="L591" s="58"/>
      <c r="M591" s="58"/>
      <c r="N591" s="58">
        <v>0</v>
      </c>
      <c r="O591" s="58">
        <v>843821.14</v>
      </c>
      <c r="P591" s="58">
        <v>815050.2</v>
      </c>
      <c r="Q591" s="58">
        <v>786990.97</v>
      </c>
      <c r="R591" s="58">
        <v>753120.76</v>
      </c>
      <c r="S591" s="58">
        <v>719814.8</v>
      </c>
      <c r="T591" s="58">
        <v>3918797.8699999992</v>
      </c>
      <c r="U591"/>
    </row>
    <row r="592" spans="1:21">
      <c r="A592" s="105" t="s">
        <v>616</v>
      </c>
      <c r="B592" s="58"/>
      <c r="C592" s="58"/>
      <c r="D592" s="58"/>
      <c r="E592" s="58"/>
      <c r="F592" s="58"/>
      <c r="G592" s="58"/>
      <c r="H592" s="58"/>
      <c r="I592" s="58"/>
      <c r="J592" s="58"/>
      <c r="K592" s="58"/>
      <c r="L592" s="58"/>
      <c r="M592" s="58"/>
      <c r="N592" s="58">
        <v>0</v>
      </c>
      <c r="O592" s="58">
        <v>569815.56000000006</v>
      </c>
      <c r="P592" s="58">
        <v>598306.34</v>
      </c>
      <c r="Q592" s="58">
        <v>628221.66</v>
      </c>
      <c r="R592" s="58">
        <v>659632.74</v>
      </c>
      <c r="S592" s="58">
        <v>692614.38</v>
      </c>
      <c r="T592" s="58">
        <v>3148590.6799999997</v>
      </c>
      <c r="U592"/>
    </row>
    <row r="593" spans="1:21">
      <c r="A593" s="105" t="s">
        <v>612</v>
      </c>
      <c r="B593" s="58"/>
      <c r="C593" s="58"/>
      <c r="D593" s="58"/>
      <c r="E593" s="58"/>
      <c r="F593" s="58"/>
      <c r="G593" s="58"/>
      <c r="H593" s="58"/>
      <c r="I593" s="58"/>
      <c r="J593" s="58"/>
      <c r="K593" s="58"/>
      <c r="L593" s="58"/>
      <c r="M593" s="58">
        <v>0</v>
      </c>
      <c r="N593" s="58">
        <v>0</v>
      </c>
      <c r="O593" s="58">
        <v>0</v>
      </c>
      <c r="P593" s="58">
        <v>0</v>
      </c>
      <c r="Q593" s="58">
        <v>0</v>
      </c>
      <c r="R593" s="58">
        <v>0</v>
      </c>
      <c r="S593" s="58">
        <v>0</v>
      </c>
      <c r="T593" s="58">
        <v>0</v>
      </c>
      <c r="U593"/>
    </row>
    <row r="594" spans="1:21">
      <c r="A594" s="104" t="s">
        <v>363</v>
      </c>
      <c r="B594" s="58"/>
      <c r="C594" s="58"/>
      <c r="D594" s="58"/>
      <c r="E594" s="58"/>
      <c r="F594" s="58"/>
      <c r="G594" s="58"/>
      <c r="H594" s="58"/>
      <c r="I594" s="58"/>
      <c r="J594" s="58"/>
      <c r="K594" s="58"/>
      <c r="L594" s="58"/>
      <c r="M594" s="58"/>
      <c r="N594" s="58"/>
      <c r="O594" s="58"/>
      <c r="P594" s="58"/>
      <c r="Q594" s="58"/>
      <c r="R594" s="58"/>
      <c r="S594" s="58"/>
      <c r="T594" s="58"/>
      <c r="U594"/>
    </row>
    <row r="595" spans="1:21">
      <c r="A595" s="105" t="s">
        <v>622</v>
      </c>
      <c r="B595" s="58"/>
      <c r="C595" s="58"/>
      <c r="D595" s="58"/>
      <c r="E595" s="58"/>
      <c r="F595" s="58"/>
      <c r="G595" s="58"/>
      <c r="H595" s="58"/>
      <c r="I595" s="58"/>
      <c r="J595" s="58"/>
      <c r="K595" s="58"/>
      <c r="L595" s="58"/>
      <c r="M595" s="58"/>
      <c r="N595" s="58">
        <v>6000000</v>
      </c>
      <c r="O595" s="58">
        <v>6000000</v>
      </c>
      <c r="P595" s="58">
        <v>5721946</v>
      </c>
      <c r="Q595" s="58">
        <v>5429990</v>
      </c>
      <c r="R595" s="58">
        <v>5123436</v>
      </c>
      <c r="S595" s="58">
        <v>4801554</v>
      </c>
      <c r="T595" s="58">
        <v>6000000</v>
      </c>
      <c r="U595"/>
    </row>
    <row r="596" spans="1:21">
      <c r="A596" s="105" t="s">
        <v>614</v>
      </c>
      <c r="B596" s="58"/>
      <c r="C596" s="58"/>
      <c r="D596" s="58"/>
      <c r="E596" s="58"/>
      <c r="F596" s="58"/>
      <c r="G596" s="58"/>
      <c r="H596" s="58"/>
      <c r="I596" s="58"/>
      <c r="J596" s="58"/>
      <c r="K596" s="58"/>
      <c r="L596" s="58"/>
      <c r="M596" s="58"/>
      <c r="N596" s="58">
        <v>69165.759999999995</v>
      </c>
      <c r="O596" s="58">
        <v>94063.34</v>
      </c>
      <c r="P596" s="58">
        <v>240900</v>
      </c>
      <c r="Q596" s="58">
        <v>230365.56</v>
      </c>
      <c r="R596" s="58">
        <v>218014.09</v>
      </c>
      <c r="S596" s="58">
        <v>205705.94</v>
      </c>
      <c r="T596" s="58">
        <v>1058214.69</v>
      </c>
      <c r="U596"/>
    </row>
    <row r="597" spans="1:21">
      <c r="A597" s="105" t="s">
        <v>616</v>
      </c>
      <c r="B597" s="58"/>
      <c r="C597" s="58"/>
      <c r="D597" s="58"/>
      <c r="E597" s="58"/>
      <c r="F597" s="58"/>
      <c r="G597" s="58"/>
      <c r="H597" s="58"/>
      <c r="I597" s="58"/>
      <c r="J597" s="58"/>
      <c r="K597" s="58"/>
      <c r="L597" s="58"/>
      <c r="M597" s="58"/>
      <c r="N597" s="58">
        <v>0</v>
      </c>
      <c r="O597" s="58">
        <v>0</v>
      </c>
      <c r="P597" s="58">
        <v>278053.73</v>
      </c>
      <c r="Q597" s="58">
        <v>291956.42</v>
      </c>
      <c r="R597" s="58">
        <v>306554.23999999999</v>
      </c>
      <c r="S597" s="58">
        <v>321881.95</v>
      </c>
      <c r="T597" s="58">
        <v>1198446.3399999999</v>
      </c>
      <c r="U597"/>
    </row>
    <row r="598" spans="1:21">
      <c r="A598" s="105" t="s">
        <v>612</v>
      </c>
      <c r="B598" s="58"/>
      <c r="C598" s="58"/>
      <c r="D598" s="58"/>
      <c r="E598" s="58"/>
      <c r="F598" s="58"/>
      <c r="G598" s="58"/>
      <c r="H598" s="58"/>
      <c r="I598" s="58"/>
      <c r="J598" s="58"/>
      <c r="K598" s="58"/>
      <c r="L598" s="58"/>
      <c r="M598" s="58"/>
      <c r="N598" s="58">
        <v>0</v>
      </c>
      <c r="O598" s="58">
        <v>0</v>
      </c>
      <c r="P598" s="58">
        <v>0</v>
      </c>
      <c r="Q598" s="58">
        <v>0</v>
      </c>
      <c r="R598" s="58">
        <v>0</v>
      </c>
      <c r="S598" s="58">
        <v>0</v>
      </c>
      <c r="T598" s="58">
        <v>0</v>
      </c>
      <c r="U598"/>
    </row>
    <row r="599" spans="1:21">
      <c r="A599" s="104" t="s">
        <v>357</v>
      </c>
      <c r="B599" s="58"/>
      <c r="C599" s="58"/>
      <c r="D599" s="58"/>
      <c r="E599" s="58"/>
      <c r="F599" s="58"/>
      <c r="G599" s="58"/>
      <c r="H599" s="58"/>
      <c r="I599" s="58"/>
      <c r="J599" s="58"/>
      <c r="K599" s="58"/>
      <c r="L599" s="58"/>
      <c r="M599" s="58"/>
      <c r="N599" s="58"/>
      <c r="O599" s="58"/>
      <c r="P599" s="58"/>
      <c r="Q599" s="58"/>
      <c r="R599" s="58"/>
      <c r="S599" s="58"/>
      <c r="T599" s="58"/>
      <c r="U599"/>
    </row>
    <row r="600" spans="1:21">
      <c r="A600" s="105" t="s">
        <v>622</v>
      </c>
      <c r="B600" s="58"/>
      <c r="C600" s="58"/>
      <c r="D600" s="58"/>
      <c r="E600" s="58"/>
      <c r="F600" s="58"/>
      <c r="G600" s="58"/>
      <c r="H600" s="58"/>
      <c r="I600" s="58"/>
      <c r="J600" s="58"/>
      <c r="K600" s="58"/>
      <c r="L600" s="58"/>
      <c r="M600" s="58"/>
      <c r="N600" s="58">
        <v>10000000</v>
      </c>
      <c r="O600" s="58">
        <v>9500000</v>
      </c>
      <c r="P600" s="58">
        <v>9000000</v>
      </c>
      <c r="Q600" s="58">
        <v>8500000</v>
      </c>
      <c r="R600" s="58">
        <v>8000000</v>
      </c>
      <c r="S600" s="58">
        <v>7500000</v>
      </c>
      <c r="T600" s="58">
        <v>10000000</v>
      </c>
      <c r="U600"/>
    </row>
    <row r="601" spans="1:21">
      <c r="A601" s="105" t="s">
        <v>614</v>
      </c>
      <c r="B601" s="58"/>
      <c r="C601" s="58"/>
      <c r="D601" s="58"/>
      <c r="E601" s="58"/>
      <c r="F601" s="58"/>
      <c r="G601" s="58"/>
      <c r="H601" s="58"/>
      <c r="I601" s="58"/>
      <c r="J601" s="58"/>
      <c r="K601" s="58"/>
      <c r="L601" s="58"/>
      <c r="M601" s="58"/>
      <c r="N601" s="58">
        <v>44059.839999999997</v>
      </c>
      <c r="O601" s="58">
        <v>441041.67</v>
      </c>
      <c r="P601" s="58">
        <v>418989.58</v>
      </c>
      <c r="Q601" s="58">
        <v>398025</v>
      </c>
      <c r="R601" s="58">
        <v>374885.42</v>
      </c>
      <c r="S601" s="58">
        <v>352833.33</v>
      </c>
      <c r="T601" s="58">
        <v>2029834.84</v>
      </c>
      <c r="U601"/>
    </row>
    <row r="602" spans="1:21">
      <c r="A602" s="105" t="s">
        <v>616</v>
      </c>
      <c r="B602" s="58"/>
      <c r="C602" s="58"/>
      <c r="D602" s="58"/>
      <c r="E602" s="58"/>
      <c r="F602" s="58"/>
      <c r="G602" s="58"/>
      <c r="H602" s="58"/>
      <c r="I602" s="58"/>
      <c r="J602" s="58"/>
      <c r="K602" s="58"/>
      <c r="L602" s="58"/>
      <c r="M602" s="58"/>
      <c r="N602" s="58">
        <v>0</v>
      </c>
      <c r="O602" s="58">
        <v>500000</v>
      </c>
      <c r="P602" s="58">
        <v>500000</v>
      </c>
      <c r="Q602" s="58">
        <v>500000</v>
      </c>
      <c r="R602" s="58">
        <v>500000</v>
      </c>
      <c r="S602" s="58">
        <v>500000</v>
      </c>
      <c r="T602" s="58">
        <v>2500000</v>
      </c>
      <c r="U602"/>
    </row>
    <row r="603" spans="1:21">
      <c r="A603" s="105" t="s">
        <v>612</v>
      </c>
      <c r="B603" s="58"/>
      <c r="C603" s="58"/>
      <c r="D603" s="58"/>
      <c r="E603" s="58"/>
      <c r="F603" s="58"/>
      <c r="G603" s="58"/>
      <c r="H603" s="58"/>
      <c r="I603" s="58"/>
      <c r="J603" s="58"/>
      <c r="K603" s="58"/>
      <c r="L603" s="58"/>
      <c r="M603" s="58">
        <v>0</v>
      </c>
      <c r="N603" s="58">
        <v>0</v>
      </c>
      <c r="O603" s="58">
        <v>0</v>
      </c>
      <c r="P603" s="58">
        <v>0</v>
      </c>
      <c r="Q603" s="58">
        <v>0</v>
      </c>
      <c r="R603" s="58">
        <v>0</v>
      </c>
      <c r="S603" s="58">
        <v>0</v>
      </c>
      <c r="T603" s="58">
        <v>0</v>
      </c>
      <c r="U603"/>
    </row>
    <row r="604" spans="1:21">
      <c r="A604" s="104" t="s">
        <v>366</v>
      </c>
      <c r="B604" s="58"/>
      <c r="C604" s="58"/>
      <c r="D604" s="58"/>
      <c r="E604" s="58"/>
      <c r="F604" s="58"/>
      <c r="G604" s="58"/>
      <c r="H604" s="58"/>
      <c r="I604" s="58"/>
      <c r="J604" s="58"/>
      <c r="K604" s="58"/>
      <c r="L604" s="58"/>
      <c r="M604" s="58"/>
      <c r="N604" s="58"/>
      <c r="O604" s="58"/>
      <c r="P604" s="58"/>
      <c r="Q604" s="58"/>
      <c r="R604" s="58"/>
      <c r="S604" s="58"/>
      <c r="T604" s="58"/>
      <c r="U604"/>
    </row>
    <row r="605" spans="1:21">
      <c r="A605" s="105" t="s">
        <v>622</v>
      </c>
      <c r="B605" s="58"/>
      <c r="C605" s="58"/>
      <c r="D605" s="58"/>
      <c r="E605" s="58"/>
      <c r="F605" s="58"/>
      <c r="G605" s="58"/>
      <c r="H605" s="58"/>
      <c r="I605" s="58"/>
      <c r="J605" s="58"/>
      <c r="K605" s="58"/>
      <c r="L605" s="58"/>
      <c r="M605" s="58"/>
      <c r="N605" s="58">
        <v>10000000</v>
      </c>
      <c r="O605" s="58">
        <v>10000000</v>
      </c>
      <c r="P605" s="58">
        <v>9500000</v>
      </c>
      <c r="Q605" s="58">
        <v>9000000</v>
      </c>
      <c r="R605" s="58">
        <v>8500000</v>
      </c>
      <c r="S605" s="58">
        <v>8000000</v>
      </c>
      <c r="T605" s="58">
        <v>10000000</v>
      </c>
      <c r="U605"/>
    </row>
    <row r="606" spans="1:21">
      <c r="A606" s="105" t="s">
        <v>614</v>
      </c>
      <c r="B606" s="58"/>
      <c r="C606" s="58"/>
      <c r="D606" s="58"/>
      <c r="E606" s="58"/>
      <c r="F606" s="58"/>
      <c r="G606" s="58"/>
      <c r="H606" s="58"/>
      <c r="I606" s="58"/>
      <c r="J606" s="58"/>
      <c r="K606" s="58"/>
      <c r="L606" s="58"/>
      <c r="M606" s="58"/>
      <c r="N606" s="58">
        <v>29794.04</v>
      </c>
      <c r="O606" s="58">
        <v>178441.41</v>
      </c>
      <c r="P606" s="58">
        <v>441041.67</v>
      </c>
      <c r="Q606" s="58">
        <v>420137.5</v>
      </c>
      <c r="R606" s="58">
        <v>396937.5</v>
      </c>
      <c r="S606" s="58">
        <v>374885.42</v>
      </c>
      <c r="T606" s="58">
        <v>1841237.54</v>
      </c>
      <c r="U606"/>
    </row>
    <row r="607" spans="1:21">
      <c r="A607" s="105" t="s">
        <v>616</v>
      </c>
      <c r="B607" s="58"/>
      <c r="C607" s="58"/>
      <c r="D607" s="58"/>
      <c r="E607" s="58"/>
      <c r="F607" s="58"/>
      <c r="G607" s="58"/>
      <c r="H607" s="58"/>
      <c r="I607" s="58"/>
      <c r="J607" s="58"/>
      <c r="K607" s="58"/>
      <c r="L607" s="58"/>
      <c r="M607" s="58"/>
      <c r="N607" s="58">
        <v>0</v>
      </c>
      <c r="O607" s="58">
        <v>0</v>
      </c>
      <c r="P607" s="58">
        <v>500000</v>
      </c>
      <c r="Q607" s="58">
        <v>500000</v>
      </c>
      <c r="R607" s="58">
        <v>500000</v>
      </c>
      <c r="S607" s="58">
        <v>500000</v>
      </c>
      <c r="T607" s="58">
        <v>2000000</v>
      </c>
      <c r="U607"/>
    </row>
    <row r="608" spans="1:21">
      <c r="A608" s="105" t="s">
        <v>612</v>
      </c>
      <c r="B608" s="58"/>
      <c r="C608" s="58"/>
      <c r="D608" s="58"/>
      <c r="E608" s="58"/>
      <c r="F608" s="58"/>
      <c r="G608" s="58"/>
      <c r="H608" s="58"/>
      <c r="I608" s="58"/>
      <c r="J608" s="58"/>
      <c r="K608" s="58"/>
      <c r="L608" s="58"/>
      <c r="M608" s="58"/>
      <c r="N608" s="58">
        <v>0</v>
      </c>
      <c r="O608" s="58">
        <v>0</v>
      </c>
      <c r="P608" s="58">
        <v>0</v>
      </c>
      <c r="Q608" s="58">
        <v>0</v>
      </c>
      <c r="R608" s="58">
        <v>0</v>
      </c>
      <c r="S608" s="58">
        <v>0</v>
      </c>
      <c r="T608" s="58">
        <v>0</v>
      </c>
      <c r="U608"/>
    </row>
    <row r="609" spans="1:21">
      <c r="A609" s="104" t="s">
        <v>354</v>
      </c>
      <c r="B609" s="58"/>
      <c r="C609" s="58"/>
      <c r="D609" s="58"/>
      <c r="E609" s="58"/>
      <c r="F609" s="58"/>
      <c r="G609" s="58"/>
      <c r="H609" s="58"/>
      <c r="I609" s="58"/>
      <c r="J609" s="58"/>
      <c r="K609" s="58"/>
      <c r="L609" s="58"/>
      <c r="M609" s="58"/>
      <c r="N609" s="58"/>
      <c r="O609" s="58"/>
      <c r="P609" s="58"/>
      <c r="Q609" s="58"/>
      <c r="R609" s="58"/>
      <c r="S609" s="58"/>
      <c r="T609" s="58"/>
      <c r="U609"/>
    </row>
    <row r="610" spans="1:21">
      <c r="A610" s="105" t="s">
        <v>622</v>
      </c>
      <c r="B610" s="58"/>
      <c r="C610" s="58"/>
      <c r="D610" s="58"/>
      <c r="E610" s="58"/>
      <c r="F610" s="58"/>
      <c r="G610" s="58"/>
      <c r="H610" s="58"/>
      <c r="I610" s="58"/>
      <c r="J610" s="58"/>
      <c r="K610" s="58"/>
      <c r="L610" s="58"/>
      <c r="M610" s="58"/>
      <c r="N610" s="58">
        <v>10562132</v>
      </c>
      <c r="O610" s="58"/>
      <c r="P610" s="58"/>
      <c r="Q610" s="58"/>
      <c r="R610" s="58"/>
      <c r="S610" s="58"/>
      <c r="T610" s="58">
        <v>10562132</v>
      </c>
      <c r="U610"/>
    </row>
    <row r="611" spans="1:21">
      <c r="A611" s="105" t="s">
        <v>614</v>
      </c>
      <c r="B611" s="58"/>
      <c r="C611" s="58"/>
      <c r="D611" s="58"/>
      <c r="E611" s="58"/>
      <c r="F611" s="58"/>
      <c r="G611" s="58"/>
      <c r="H611" s="58"/>
      <c r="I611" s="58"/>
      <c r="J611" s="58"/>
      <c r="K611" s="58"/>
      <c r="L611" s="58"/>
      <c r="M611" s="58"/>
      <c r="N611" s="58">
        <v>597666.67000000004</v>
      </c>
      <c r="O611" s="58"/>
      <c r="P611" s="58"/>
      <c r="Q611" s="58"/>
      <c r="R611" s="58"/>
      <c r="S611" s="58"/>
      <c r="T611" s="58">
        <v>597666.67000000004</v>
      </c>
      <c r="U611"/>
    </row>
    <row r="612" spans="1:21">
      <c r="A612" s="105" t="s">
        <v>616</v>
      </c>
      <c r="B612" s="58"/>
      <c r="C612" s="58"/>
      <c r="D612" s="58"/>
      <c r="E612" s="58"/>
      <c r="F612" s="58"/>
      <c r="G612" s="58"/>
      <c r="H612" s="58"/>
      <c r="I612" s="58"/>
      <c r="J612" s="58"/>
      <c r="K612" s="58"/>
      <c r="L612" s="58"/>
      <c r="M612" s="58"/>
      <c r="N612" s="58">
        <v>786687.72</v>
      </c>
      <c r="O612" s="58"/>
      <c r="P612" s="58"/>
      <c r="Q612" s="58"/>
      <c r="R612" s="58"/>
      <c r="S612" s="58"/>
      <c r="T612" s="58">
        <v>786687.72</v>
      </c>
      <c r="U612"/>
    </row>
    <row r="613" spans="1:21">
      <c r="A613" s="105" t="s">
        <v>612</v>
      </c>
      <c r="B613" s="58"/>
      <c r="C613" s="58"/>
      <c r="D613" s="58"/>
      <c r="E613" s="58"/>
      <c r="F613" s="58"/>
      <c r="G613" s="58"/>
      <c r="H613" s="58"/>
      <c r="I613" s="58"/>
      <c r="J613" s="58"/>
      <c r="K613" s="58"/>
      <c r="L613" s="58"/>
      <c r="M613" s="58">
        <v>0</v>
      </c>
      <c r="N613" s="58">
        <v>0</v>
      </c>
      <c r="O613" s="58">
        <v>10562000</v>
      </c>
      <c r="P613" s="58"/>
      <c r="Q613" s="58"/>
      <c r="R613" s="58"/>
      <c r="S613" s="58"/>
      <c r="T613" s="58">
        <v>10562000</v>
      </c>
      <c r="U613"/>
    </row>
    <row r="614" spans="1:21">
      <c r="A614" s="104" t="s">
        <v>359</v>
      </c>
      <c r="B614" s="58"/>
      <c r="C614" s="58"/>
      <c r="D614" s="58"/>
      <c r="E614" s="58"/>
      <c r="F614" s="58"/>
      <c r="G614" s="58"/>
      <c r="H614" s="58"/>
      <c r="I614" s="58"/>
      <c r="J614" s="58"/>
      <c r="K614" s="58"/>
      <c r="L614" s="58"/>
      <c r="M614" s="58"/>
      <c r="N614" s="58"/>
      <c r="O614" s="58"/>
      <c r="P614" s="58"/>
      <c r="Q614" s="58"/>
      <c r="R614" s="58"/>
      <c r="S614" s="58"/>
      <c r="T614" s="58"/>
      <c r="U614"/>
    </row>
    <row r="615" spans="1:21">
      <c r="A615" s="105" t="s">
        <v>622</v>
      </c>
      <c r="B615" s="58"/>
      <c r="C615" s="58"/>
      <c r="D615" s="58"/>
      <c r="E615" s="58"/>
      <c r="F615" s="58"/>
      <c r="G615" s="58"/>
      <c r="H615" s="58"/>
      <c r="I615" s="58"/>
      <c r="J615" s="58"/>
      <c r="K615" s="58"/>
      <c r="L615" s="58"/>
      <c r="M615" s="58"/>
      <c r="N615" s="58"/>
      <c r="O615" s="58">
        <v>23549083</v>
      </c>
      <c r="P615" s="58">
        <v>22478140</v>
      </c>
      <c r="Q615" s="58">
        <v>21353650</v>
      </c>
      <c r="R615" s="58">
        <v>20172935</v>
      </c>
      <c r="S615" s="58">
        <v>18933184</v>
      </c>
      <c r="T615" s="58">
        <v>23549083</v>
      </c>
      <c r="U615"/>
    </row>
    <row r="616" spans="1:21">
      <c r="A616" s="105" t="s">
        <v>614</v>
      </c>
      <c r="B616" s="58"/>
      <c r="C616" s="58"/>
      <c r="D616" s="58"/>
      <c r="E616" s="58"/>
      <c r="F616" s="58"/>
      <c r="G616" s="58"/>
      <c r="H616" s="58"/>
      <c r="I616" s="58"/>
      <c r="J616" s="58"/>
      <c r="K616" s="58"/>
      <c r="L616" s="58"/>
      <c r="M616" s="58"/>
      <c r="N616" s="58"/>
      <c r="O616" s="58">
        <v>918335.71</v>
      </c>
      <c r="P616" s="58">
        <v>1107853.54</v>
      </c>
      <c r="Q616" s="58">
        <v>1060368.8</v>
      </c>
      <c r="R616" s="58">
        <v>1004570.59</v>
      </c>
      <c r="S616" s="58">
        <v>949024.52</v>
      </c>
      <c r="T616" s="58">
        <v>5040153.16</v>
      </c>
      <c r="U616"/>
    </row>
    <row r="617" spans="1:21">
      <c r="A617" s="105" t="s">
        <v>616</v>
      </c>
      <c r="B617" s="58"/>
      <c r="C617" s="58"/>
      <c r="D617" s="58"/>
      <c r="E617" s="58"/>
      <c r="F617" s="58"/>
      <c r="G617" s="58"/>
      <c r="H617" s="58"/>
      <c r="I617" s="58"/>
      <c r="J617" s="58"/>
      <c r="K617" s="58"/>
      <c r="L617" s="58"/>
      <c r="M617" s="58"/>
      <c r="N617" s="58"/>
      <c r="O617" s="58">
        <v>1019945.84</v>
      </c>
      <c r="P617" s="58">
        <v>1070943.1399999999</v>
      </c>
      <c r="Q617" s="58">
        <v>1124490.29</v>
      </c>
      <c r="R617" s="58">
        <v>1180714.81</v>
      </c>
      <c r="S617" s="58">
        <v>1239750.55</v>
      </c>
      <c r="T617" s="58">
        <v>5635844.6299999999</v>
      </c>
      <c r="U617"/>
    </row>
    <row r="618" spans="1:21">
      <c r="A618" s="105" t="s">
        <v>612</v>
      </c>
      <c r="B618" s="58"/>
      <c r="C618" s="58"/>
      <c r="D618" s="58"/>
      <c r="E618" s="58"/>
      <c r="F618" s="58"/>
      <c r="G618" s="58"/>
      <c r="H618" s="58"/>
      <c r="I618" s="58"/>
      <c r="J618" s="58"/>
      <c r="K618" s="58"/>
      <c r="L618" s="58"/>
      <c r="M618" s="58"/>
      <c r="N618" s="58">
        <v>0</v>
      </c>
      <c r="O618" s="58">
        <v>0</v>
      </c>
      <c r="P618" s="58">
        <v>0</v>
      </c>
      <c r="Q618" s="58">
        <v>0</v>
      </c>
      <c r="R618" s="58">
        <v>0</v>
      </c>
      <c r="S618" s="58">
        <v>0</v>
      </c>
      <c r="T618" s="58">
        <v>0</v>
      </c>
      <c r="U618"/>
    </row>
    <row r="619" spans="1:21">
      <c r="A619" s="104" t="s">
        <v>361</v>
      </c>
      <c r="B619" s="58"/>
      <c r="C619" s="58"/>
      <c r="D619" s="58"/>
      <c r="E619" s="58"/>
      <c r="F619" s="58"/>
      <c r="G619" s="58"/>
      <c r="H619" s="58"/>
      <c r="I619" s="58"/>
      <c r="J619" s="58"/>
      <c r="K619" s="58"/>
      <c r="L619" s="58"/>
      <c r="M619" s="58"/>
      <c r="N619" s="58"/>
      <c r="O619" s="58"/>
      <c r="P619" s="58"/>
      <c r="Q619" s="58"/>
      <c r="R619" s="58"/>
      <c r="S619" s="58"/>
      <c r="T619" s="58"/>
      <c r="U619"/>
    </row>
    <row r="620" spans="1:21">
      <c r="A620" s="105" t="s">
        <v>622</v>
      </c>
      <c r="B620" s="58"/>
      <c r="C620" s="58"/>
      <c r="D620" s="58"/>
      <c r="E620" s="58"/>
      <c r="F620" s="58"/>
      <c r="G620" s="58"/>
      <c r="H620" s="58"/>
      <c r="I620" s="58"/>
      <c r="J620" s="58"/>
      <c r="K620" s="58"/>
      <c r="L620" s="58"/>
      <c r="M620" s="58"/>
      <c r="N620" s="58"/>
      <c r="O620" s="58">
        <v>2536377</v>
      </c>
      <c r="P620" s="58">
        <v>2321284</v>
      </c>
      <c r="Q620" s="58">
        <v>2100750</v>
      </c>
      <c r="R620" s="58">
        <v>1874660</v>
      </c>
      <c r="S620" s="58">
        <v>1642795</v>
      </c>
      <c r="T620" s="58">
        <v>2536377</v>
      </c>
      <c r="U620"/>
    </row>
    <row r="621" spans="1:21">
      <c r="A621" s="105" t="s">
        <v>614</v>
      </c>
      <c r="B621" s="58"/>
      <c r="C621" s="58"/>
      <c r="D621" s="58"/>
      <c r="E621" s="58"/>
      <c r="F621" s="58"/>
      <c r="G621" s="58"/>
      <c r="H621" s="58"/>
      <c r="I621" s="58"/>
      <c r="J621" s="58"/>
      <c r="K621" s="58"/>
      <c r="L621" s="58"/>
      <c r="M621" s="58"/>
      <c r="N621" s="58"/>
      <c r="O621" s="58">
        <v>0</v>
      </c>
      <c r="P621" s="58">
        <v>121636.89</v>
      </c>
      <c r="Q621" s="58">
        <v>111321.71</v>
      </c>
      <c r="R621" s="58">
        <v>101021.59</v>
      </c>
      <c r="S621" s="58">
        <v>89902.94</v>
      </c>
      <c r="T621" s="58">
        <v>423883.13</v>
      </c>
      <c r="U621"/>
    </row>
    <row r="622" spans="1:21">
      <c r="A622" s="105" t="s">
        <v>616</v>
      </c>
      <c r="B622" s="58"/>
      <c r="C622" s="58"/>
      <c r="D622" s="58"/>
      <c r="E622" s="58"/>
      <c r="F622" s="58"/>
      <c r="G622" s="58"/>
      <c r="H622" s="58"/>
      <c r="I622" s="58"/>
      <c r="J622" s="58"/>
      <c r="K622" s="58"/>
      <c r="L622" s="58"/>
      <c r="M622" s="58"/>
      <c r="N622" s="58"/>
      <c r="O622" s="58">
        <v>0</v>
      </c>
      <c r="P622" s="58">
        <v>215092.56</v>
      </c>
      <c r="Q622" s="58">
        <v>220533.98</v>
      </c>
      <c r="R622" s="58">
        <v>226090.93</v>
      </c>
      <c r="S622" s="58">
        <v>231864.94</v>
      </c>
      <c r="T622" s="58">
        <v>893582.40999999992</v>
      </c>
      <c r="U622"/>
    </row>
    <row r="623" spans="1:21">
      <c r="A623" s="105" t="s">
        <v>612</v>
      </c>
      <c r="B623" s="58"/>
      <c r="C623" s="58"/>
      <c r="D623" s="58"/>
      <c r="E623" s="58"/>
      <c r="F623" s="58"/>
      <c r="G623" s="58"/>
      <c r="H623" s="58"/>
      <c r="I623" s="58"/>
      <c r="J623" s="58"/>
      <c r="K623" s="58"/>
      <c r="L623" s="58"/>
      <c r="M623" s="58"/>
      <c r="N623" s="58">
        <v>0</v>
      </c>
      <c r="O623" s="58">
        <v>0</v>
      </c>
      <c r="P623" s="58">
        <v>0</v>
      </c>
      <c r="Q623" s="58">
        <v>0</v>
      </c>
      <c r="R623" s="58">
        <v>0</v>
      </c>
      <c r="S623" s="58">
        <v>0</v>
      </c>
      <c r="T623" s="58">
        <v>0</v>
      </c>
      <c r="U623"/>
    </row>
    <row r="624" spans="1:21">
      <c r="A624" s="104" t="s">
        <v>360</v>
      </c>
      <c r="B624" s="58"/>
      <c r="C624" s="58"/>
      <c r="D624" s="58"/>
      <c r="E624" s="58"/>
      <c r="F624" s="58"/>
      <c r="G624" s="58"/>
      <c r="H624" s="58"/>
      <c r="I624" s="58"/>
      <c r="J624" s="58"/>
      <c r="K624" s="58"/>
      <c r="L624" s="58"/>
      <c r="M624" s="58"/>
      <c r="N624" s="58"/>
      <c r="O624" s="58"/>
      <c r="P624" s="58"/>
      <c r="Q624" s="58"/>
      <c r="R624" s="58"/>
      <c r="S624" s="58"/>
      <c r="T624" s="58"/>
      <c r="U624"/>
    </row>
    <row r="625" spans="1:21">
      <c r="A625" s="105" t="s">
        <v>622</v>
      </c>
      <c r="B625" s="58"/>
      <c r="C625" s="58"/>
      <c r="D625" s="58"/>
      <c r="E625" s="58"/>
      <c r="F625" s="58"/>
      <c r="G625" s="58"/>
      <c r="H625" s="58"/>
      <c r="I625" s="58"/>
      <c r="J625" s="58"/>
      <c r="K625" s="58"/>
      <c r="L625" s="58"/>
      <c r="M625" s="58"/>
      <c r="N625" s="58"/>
      <c r="O625" s="58">
        <v>7218920</v>
      </c>
      <c r="P625" s="58">
        <v>6606733</v>
      </c>
      <c r="Q625" s="58">
        <v>5979060</v>
      </c>
      <c r="R625" s="58">
        <v>5335570</v>
      </c>
      <c r="S625" s="58">
        <v>0</v>
      </c>
      <c r="T625" s="58">
        <v>7218920</v>
      </c>
      <c r="U625"/>
    </row>
    <row r="626" spans="1:21">
      <c r="A626" s="105" t="s">
        <v>614</v>
      </c>
      <c r="B626" s="58"/>
      <c r="C626" s="58"/>
      <c r="D626" s="58"/>
      <c r="E626" s="58"/>
      <c r="F626" s="58"/>
      <c r="G626" s="58"/>
      <c r="H626" s="58"/>
      <c r="I626" s="58"/>
      <c r="J626" s="58"/>
      <c r="K626" s="58"/>
      <c r="L626" s="58"/>
      <c r="M626" s="58"/>
      <c r="N626" s="58"/>
      <c r="O626" s="58">
        <v>535441.41</v>
      </c>
      <c r="P626" s="58">
        <v>365959.13</v>
      </c>
      <c r="Q626" s="58">
        <v>334924.68</v>
      </c>
      <c r="R626" s="58">
        <v>303935.53999999998</v>
      </c>
      <c r="S626" s="58">
        <v>595064.28</v>
      </c>
      <c r="T626" s="58">
        <v>2135325.04</v>
      </c>
      <c r="U626"/>
    </row>
    <row r="627" spans="1:21">
      <c r="A627" s="105" t="s">
        <v>616</v>
      </c>
      <c r="B627" s="58"/>
      <c r="C627" s="58"/>
      <c r="D627" s="58"/>
      <c r="E627" s="58"/>
      <c r="F627" s="58"/>
      <c r="G627" s="58"/>
      <c r="H627" s="58"/>
      <c r="I627" s="58"/>
      <c r="J627" s="58"/>
      <c r="K627" s="58"/>
      <c r="L627" s="58"/>
      <c r="M627" s="58"/>
      <c r="N627" s="58"/>
      <c r="O627" s="58">
        <v>806835.08</v>
      </c>
      <c r="P627" s="58">
        <v>612186.52</v>
      </c>
      <c r="Q627" s="58">
        <v>627673.63</v>
      </c>
      <c r="R627" s="58">
        <v>643489.56000000006</v>
      </c>
      <c r="S627" s="58">
        <v>659923.31000000006</v>
      </c>
      <c r="T627" s="58">
        <v>3350108.1</v>
      </c>
      <c r="U627"/>
    </row>
    <row r="628" spans="1:21">
      <c r="A628" s="105" t="s">
        <v>612</v>
      </c>
      <c r="B628" s="58"/>
      <c r="C628" s="58"/>
      <c r="D628" s="58"/>
      <c r="E628" s="58"/>
      <c r="F628" s="58"/>
      <c r="G628" s="58"/>
      <c r="H628" s="58"/>
      <c r="I628" s="58"/>
      <c r="J628" s="58"/>
      <c r="K628" s="58"/>
      <c r="L628" s="58"/>
      <c r="M628" s="58"/>
      <c r="N628" s="58">
        <v>0</v>
      </c>
      <c r="O628" s="58">
        <v>0</v>
      </c>
      <c r="P628" s="58">
        <v>0</v>
      </c>
      <c r="Q628" s="58">
        <v>0</v>
      </c>
      <c r="R628" s="58">
        <v>0</v>
      </c>
      <c r="S628" s="58">
        <v>4676000</v>
      </c>
      <c r="T628" s="58">
        <v>4676000</v>
      </c>
      <c r="U628"/>
    </row>
    <row r="629" spans="1:21">
      <c r="A629" s="104" t="s">
        <v>367</v>
      </c>
      <c r="B629" s="58"/>
      <c r="C629" s="58"/>
      <c r="D629" s="58"/>
      <c r="E629" s="58"/>
      <c r="F629" s="58"/>
      <c r="G629" s="58"/>
      <c r="H629" s="58"/>
      <c r="I629" s="58"/>
      <c r="J629" s="58"/>
      <c r="K629" s="58"/>
      <c r="L629" s="58"/>
      <c r="M629" s="58"/>
      <c r="N629" s="58"/>
      <c r="O629" s="58"/>
      <c r="P629" s="58"/>
      <c r="Q629" s="58"/>
      <c r="R629" s="58"/>
      <c r="S629" s="58"/>
      <c r="T629" s="58"/>
      <c r="U629"/>
    </row>
    <row r="630" spans="1:21">
      <c r="A630" s="105" t="s">
        <v>622</v>
      </c>
      <c r="B630" s="58"/>
      <c r="C630" s="58"/>
      <c r="D630" s="58"/>
      <c r="E630" s="58"/>
      <c r="F630" s="58"/>
      <c r="G630" s="58"/>
      <c r="H630" s="58"/>
      <c r="I630" s="58"/>
      <c r="J630" s="58"/>
      <c r="K630" s="58"/>
      <c r="L630" s="58"/>
      <c r="M630" s="58"/>
      <c r="N630" s="58"/>
      <c r="O630" s="58">
        <v>10000000</v>
      </c>
      <c r="P630" s="58">
        <v>9500000</v>
      </c>
      <c r="Q630" s="58">
        <v>9000000</v>
      </c>
      <c r="R630" s="58">
        <v>8500000</v>
      </c>
      <c r="S630" s="58">
        <v>8000000</v>
      </c>
      <c r="T630" s="58">
        <v>10000000</v>
      </c>
      <c r="U630"/>
    </row>
    <row r="631" spans="1:21">
      <c r="A631" s="105" t="s">
        <v>614</v>
      </c>
      <c r="B631" s="58"/>
      <c r="C631" s="58"/>
      <c r="D631" s="58"/>
      <c r="E631" s="58"/>
      <c r="F631" s="58"/>
      <c r="G631" s="58"/>
      <c r="H631" s="58"/>
      <c r="I631" s="58"/>
      <c r="J631" s="58"/>
      <c r="K631" s="58"/>
      <c r="L631" s="58"/>
      <c r="M631" s="58"/>
      <c r="N631" s="58"/>
      <c r="O631" s="58">
        <v>551.37</v>
      </c>
      <c r="P631" s="58">
        <v>423805.56</v>
      </c>
      <c r="Q631" s="58">
        <v>403718.33</v>
      </c>
      <c r="R631" s="58">
        <v>381425</v>
      </c>
      <c r="S631" s="58">
        <v>260234.72</v>
      </c>
      <c r="T631" s="58">
        <v>1469734.98</v>
      </c>
      <c r="U631"/>
    </row>
    <row r="632" spans="1:21">
      <c r="A632" s="105" t="s">
        <v>616</v>
      </c>
      <c r="B632" s="58"/>
      <c r="C632" s="58"/>
      <c r="D632" s="58"/>
      <c r="E632" s="58"/>
      <c r="F632" s="58"/>
      <c r="G632" s="58"/>
      <c r="H632" s="58"/>
      <c r="I632" s="58"/>
      <c r="J632" s="58"/>
      <c r="K632" s="58"/>
      <c r="L632" s="58"/>
      <c r="M632" s="58"/>
      <c r="N632" s="58"/>
      <c r="O632" s="58">
        <v>0</v>
      </c>
      <c r="P632" s="58">
        <v>500000</v>
      </c>
      <c r="Q632" s="58">
        <v>500000</v>
      </c>
      <c r="R632" s="58">
        <v>500000</v>
      </c>
      <c r="S632" s="58">
        <v>500000</v>
      </c>
      <c r="T632" s="58">
        <v>2000000</v>
      </c>
      <c r="U632"/>
    </row>
    <row r="633" spans="1:21">
      <c r="A633" s="105" t="s">
        <v>612</v>
      </c>
      <c r="B633" s="58"/>
      <c r="C633" s="58"/>
      <c r="D633" s="58"/>
      <c r="E633" s="58"/>
      <c r="F633" s="58"/>
      <c r="G633" s="58"/>
      <c r="H633" s="58"/>
      <c r="I633" s="58"/>
      <c r="J633" s="58"/>
      <c r="K633" s="58"/>
      <c r="L633" s="58"/>
      <c r="M633" s="58"/>
      <c r="N633" s="58">
        <v>0</v>
      </c>
      <c r="O633" s="58">
        <v>0</v>
      </c>
      <c r="P633" s="58">
        <v>0</v>
      </c>
      <c r="Q633" s="58">
        <v>0</v>
      </c>
      <c r="R633" s="58">
        <v>0</v>
      </c>
      <c r="S633" s="58">
        <v>0</v>
      </c>
      <c r="T633" s="58">
        <v>0</v>
      </c>
      <c r="U633"/>
    </row>
    <row r="634" spans="1:21">
      <c r="A634" s="104" t="s">
        <v>368</v>
      </c>
      <c r="B634" s="58"/>
      <c r="C634" s="58"/>
      <c r="D634" s="58"/>
      <c r="E634" s="58"/>
      <c r="F634" s="58"/>
      <c r="G634" s="58"/>
      <c r="H634" s="58"/>
      <c r="I634" s="58"/>
      <c r="J634" s="58"/>
      <c r="K634" s="58"/>
      <c r="L634" s="58"/>
      <c r="M634" s="58"/>
      <c r="N634" s="58"/>
      <c r="O634" s="58"/>
      <c r="P634" s="58"/>
      <c r="Q634" s="58"/>
      <c r="R634" s="58"/>
      <c r="S634" s="58"/>
      <c r="T634" s="58"/>
      <c r="U634"/>
    </row>
    <row r="635" spans="1:21">
      <c r="A635" s="105" t="s">
        <v>622</v>
      </c>
      <c r="B635" s="58"/>
      <c r="C635" s="58"/>
      <c r="D635" s="58"/>
      <c r="E635" s="58"/>
      <c r="F635" s="58"/>
      <c r="G635" s="58"/>
      <c r="H635" s="58"/>
      <c r="I635" s="58"/>
      <c r="J635" s="58"/>
      <c r="K635" s="58"/>
      <c r="L635" s="58"/>
      <c r="M635" s="58"/>
      <c r="N635" s="58"/>
      <c r="O635" s="58"/>
      <c r="P635" s="58">
        <v>5000000</v>
      </c>
      <c r="Q635" s="58">
        <v>4666667</v>
      </c>
      <c r="R635" s="58">
        <v>4333333</v>
      </c>
      <c r="S635" s="58">
        <v>4000000</v>
      </c>
      <c r="T635" s="58">
        <v>5000000</v>
      </c>
      <c r="U635"/>
    </row>
    <row r="636" spans="1:21">
      <c r="A636" s="105" t="s">
        <v>614</v>
      </c>
      <c r="B636" s="58"/>
      <c r="C636" s="58"/>
      <c r="D636" s="58"/>
      <c r="E636" s="58"/>
      <c r="F636" s="58"/>
      <c r="G636" s="58"/>
      <c r="H636" s="58"/>
      <c r="I636" s="58"/>
      <c r="J636" s="58"/>
      <c r="K636" s="58"/>
      <c r="L636" s="58"/>
      <c r="M636" s="58"/>
      <c r="N636" s="58"/>
      <c r="O636" s="58"/>
      <c r="P636" s="58">
        <v>0</v>
      </c>
      <c r="Q636" s="58">
        <v>186000</v>
      </c>
      <c r="R636" s="58">
        <v>173600</v>
      </c>
      <c r="S636" s="58">
        <v>161200</v>
      </c>
      <c r="T636" s="58">
        <v>520800</v>
      </c>
      <c r="U636"/>
    </row>
    <row r="637" spans="1:21">
      <c r="A637" s="105" t="s">
        <v>616</v>
      </c>
      <c r="B637" s="58"/>
      <c r="C637" s="58"/>
      <c r="D637" s="58"/>
      <c r="E637" s="58"/>
      <c r="F637" s="58"/>
      <c r="G637" s="58"/>
      <c r="H637" s="58"/>
      <c r="I637" s="58"/>
      <c r="J637" s="58"/>
      <c r="K637" s="58"/>
      <c r="L637" s="58"/>
      <c r="M637" s="58"/>
      <c r="N637" s="58"/>
      <c r="O637" s="58"/>
      <c r="P637" s="58">
        <v>0</v>
      </c>
      <c r="Q637" s="58">
        <v>333333.33</v>
      </c>
      <c r="R637" s="58">
        <v>333333.33</v>
      </c>
      <c r="S637" s="58">
        <v>333333.33</v>
      </c>
      <c r="T637" s="58">
        <v>999999.99</v>
      </c>
      <c r="U637"/>
    </row>
    <row r="638" spans="1:21">
      <c r="A638" s="105" t="s">
        <v>612</v>
      </c>
      <c r="B638" s="58"/>
      <c r="C638" s="58"/>
      <c r="D638" s="58"/>
      <c r="E638" s="58"/>
      <c r="F638" s="58"/>
      <c r="G638" s="58"/>
      <c r="H638" s="58"/>
      <c r="I638" s="58"/>
      <c r="J638" s="58"/>
      <c r="K638" s="58"/>
      <c r="L638" s="58"/>
      <c r="M638" s="58"/>
      <c r="N638" s="58"/>
      <c r="O638" s="58">
        <v>0</v>
      </c>
      <c r="P638" s="58">
        <v>0</v>
      </c>
      <c r="Q638" s="58">
        <v>0</v>
      </c>
      <c r="R638" s="58">
        <v>0</v>
      </c>
      <c r="S638" s="58">
        <v>0</v>
      </c>
      <c r="T638" s="58">
        <v>0</v>
      </c>
      <c r="U638"/>
    </row>
    <row r="639" spans="1:21">
      <c r="A639" s="104" t="s">
        <v>364</v>
      </c>
      <c r="B639" s="58"/>
      <c r="C639" s="58"/>
      <c r="D639" s="58"/>
      <c r="E639" s="58"/>
      <c r="F639" s="58"/>
      <c r="G639" s="58"/>
      <c r="H639" s="58"/>
      <c r="I639" s="58"/>
      <c r="J639" s="58"/>
      <c r="K639" s="58"/>
      <c r="L639" s="58"/>
      <c r="M639" s="58"/>
      <c r="N639" s="58"/>
      <c r="O639" s="58"/>
      <c r="P639" s="58"/>
      <c r="Q639" s="58"/>
      <c r="R639" s="58"/>
      <c r="S639" s="58"/>
      <c r="T639" s="58"/>
      <c r="U639"/>
    </row>
    <row r="640" spans="1:21">
      <c r="A640" s="105" t="s">
        <v>622</v>
      </c>
      <c r="B640" s="58"/>
      <c r="C640" s="58"/>
      <c r="D640" s="58"/>
      <c r="E640" s="58"/>
      <c r="F640" s="58"/>
      <c r="G640" s="58"/>
      <c r="H640" s="58"/>
      <c r="I640" s="58"/>
      <c r="J640" s="58"/>
      <c r="K640" s="58"/>
      <c r="L640" s="58"/>
      <c r="M640" s="58"/>
      <c r="N640" s="58"/>
      <c r="O640" s="58">
        <v>37514615</v>
      </c>
      <c r="P640" s="58">
        <v>36263209</v>
      </c>
      <c r="Q640" s="58">
        <v>34891154</v>
      </c>
      <c r="R640" s="58">
        <v>33390826</v>
      </c>
      <c r="S640" s="58">
        <v>31786309</v>
      </c>
      <c r="T640" s="58">
        <v>37514615</v>
      </c>
      <c r="U640"/>
    </row>
    <row r="641" spans="1:21">
      <c r="A641" s="105" t="s">
        <v>614</v>
      </c>
      <c r="B641" s="58"/>
      <c r="C641" s="58"/>
      <c r="D641" s="58"/>
      <c r="E641" s="58"/>
      <c r="F641" s="58"/>
      <c r="G641" s="58"/>
      <c r="H641" s="58"/>
      <c r="I641" s="58"/>
      <c r="J641" s="58"/>
      <c r="K641" s="58"/>
      <c r="L641" s="58"/>
      <c r="M641" s="58"/>
      <c r="N641" s="58"/>
      <c r="O641" s="58">
        <v>0</v>
      </c>
      <c r="P641" s="58">
        <v>1776264.93</v>
      </c>
      <c r="Q641" s="58">
        <v>1721716.73</v>
      </c>
      <c r="R641" s="58">
        <v>1652047.67</v>
      </c>
      <c r="S641" s="58">
        <v>1581009.22</v>
      </c>
      <c r="T641" s="58">
        <v>6731038.5499999998</v>
      </c>
      <c r="U641"/>
    </row>
    <row r="642" spans="1:21">
      <c r="A642" s="105" t="s">
        <v>616</v>
      </c>
      <c r="B642" s="58"/>
      <c r="C642" s="58"/>
      <c r="D642" s="58"/>
      <c r="E642" s="58"/>
      <c r="F642" s="58"/>
      <c r="G642" s="58"/>
      <c r="H642" s="58"/>
      <c r="I642" s="58"/>
      <c r="J642" s="58"/>
      <c r="K642" s="58"/>
      <c r="L642" s="58"/>
      <c r="M642" s="58"/>
      <c r="N642" s="58"/>
      <c r="O642" s="58">
        <v>0</v>
      </c>
      <c r="P642" s="58">
        <v>1251406.26</v>
      </c>
      <c r="Q642" s="58">
        <v>1372055.32</v>
      </c>
      <c r="R642" s="58">
        <v>1500328.05</v>
      </c>
      <c r="S642" s="58">
        <v>1604516.45</v>
      </c>
      <c r="T642" s="58">
        <v>5728306.0800000001</v>
      </c>
      <c r="U642"/>
    </row>
    <row r="643" spans="1:21">
      <c r="A643" s="105" t="s">
        <v>612</v>
      </c>
      <c r="B643" s="58"/>
      <c r="C643" s="58"/>
      <c r="D643" s="58"/>
      <c r="E643" s="58"/>
      <c r="F643" s="58"/>
      <c r="G643" s="58"/>
      <c r="H643" s="58"/>
      <c r="I643" s="58"/>
      <c r="J643" s="58"/>
      <c r="K643" s="58"/>
      <c r="L643" s="58"/>
      <c r="M643" s="58"/>
      <c r="N643" s="58">
        <v>0</v>
      </c>
      <c r="O643" s="58">
        <v>0</v>
      </c>
      <c r="P643" s="58">
        <v>0</v>
      </c>
      <c r="Q643" s="58">
        <v>0</v>
      </c>
      <c r="R643" s="58">
        <v>0</v>
      </c>
      <c r="S643" s="58">
        <v>0</v>
      </c>
      <c r="T643" s="58">
        <v>0</v>
      </c>
      <c r="U643"/>
    </row>
    <row r="644" spans="1:21">
      <c r="A644" s="104" t="s">
        <v>365</v>
      </c>
      <c r="B644" s="58"/>
      <c r="C644" s="58"/>
      <c r="D644" s="58"/>
      <c r="E644" s="58"/>
      <c r="F644" s="58"/>
      <c r="G644" s="58"/>
      <c r="H644" s="58"/>
      <c r="I644" s="58"/>
      <c r="J644" s="58"/>
      <c r="K644" s="58"/>
      <c r="L644" s="58"/>
      <c r="M644" s="58"/>
      <c r="N644" s="58"/>
      <c r="O644" s="58"/>
      <c r="P644" s="58"/>
      <c r="Q644" s="58"/>
      <c r="R644" s="58"/>
      <c r="S644" s="58"/>
      <c r="T644" s="58"/>
      <c r="U644"/>
    </row>
    <row r="645" spans="1:21">
      <c r="A645" s="105" t="s">
        <v>622</v>
      </c>
      <c r="B645" s="58"/>
      <c r="C645" s="58"/>
      <c r="D645" s="58"/>
      <c r="E645" s="58"/>
      <c r="F645" s="58"/>
      <c r="G645" s="58"/>
      <c r="H645" s="58"/>
      <c r="I645" s="58"/>
      <c r="J645" s="58"/>
      <c r="K645" s="58"/>
      <c r="L645" s="58"/>
      <c r="M645" s="58"/>
      <c r="N645" s="58"/>
      <c r="O645" s="58"/>
      <c r="P645" s="58">
        <v>4875000</v>
      </c>
      <c r="Q645" s="58">
        <v>4625000</v>
      </c>
      <c r="R645" s="58">
        <v>4375000</v>
      </c>
      <c r="S645" s="58">
        <v>4125000</v>
      </c>
      <c r="T645" s="58">
        <v>4875000</v>
      </c>
      <c r="U645"/>
    </row>
    <row r="646" spans="1:21">
      <c r="A646" s="105" t="s">
        <v>614</v>
      </c>
      <c r="B646" s="58"/>
      <c r="C646" s="58"/>
      <c r="D646" s="58"/>
      <c r="E646" s="58"/>
      <c r="F646" s="58"/>
      <c r="G646" s="58"/>
      <c r="H646" s="58"/>
      <c r="I646" s="58"/>
      <c r="J646" s="58"/>
      <c r="K646" s="58"/>
      <c r="L646" s="58"/>
      <c r="M646" s="58"/>
      <c r="N646" s="58"/>
      <c r="O646" s="58"/>
      <c r="P646" s="58">
        <v>46120.27</v>
      </c>
      <c r="Q646" s="58">
        <v>79574.98</v>
      </c>
      <c r="R646" s="58">
        <v>69155.19</v>
      </c>
      <c r="S646" s="58">
        <v>65245.49</v>
      </c>
      <c r="T646" s="58">
        <v>260095.93</v>
      </c>
      <c r="U646"/>
    </row>
    <row r="647" spans="1:21">
      <c r="A647" s="105" t="s">
        <v>616</v>
      </c>
      <c r="B647" s="58"/>
      <c r="C647" s="58"/>
      <c r="D647" s="58"/>
      <c r="E647" s="58"/>
      <c r="F647" s="58"/>
      <c r="G647" s="58"/>
      <c r="H647" s="58"/>
      <c r="I647" s="58"/>
      <c r="J647" s="58"/>
      <c r="K647" s="58"/>
      <c r="L647" s="58"/>
      <c r="M647" s="58"/>
      <c r="N647" s="58"/>
      <c r="O647" s="58"/>
      <c r="P647" s="58">
        <v>125000</v>
      </c>
      <c r="Q647" s="58">
        <v>250000</v>
      </c>
      <c r="R647" s="58">
        <v>250000</v>
      </c>
      <c r="S647" s="58">
        <v>250000</v>
      </c>
      <c r="T647" s="58">
        <v>875000</v>
      </c>
      <c r="U647"/>
    </row>
    <row r="648" spans="1:21">
      <c r="A648" s="105" t="s">
        <v>612</v>
      </c>
      <c r="B648" s="58"/>
      <c r="C648" s="58"/>
      <c r="D648" s="58"/>
      <c r="E648" s="58"/>
      <c r="F648" s="58"/>
      <c r="G648" s="58"/>
      <c r="H648" s="58"/>
      <c r="I648" s="58"/>
      <c r="J648" s="58"/>
      <c r="K648" s="58"/>
      <c r="L648" s="58"/>
      <c r="M648" s="58"/>
      <c r="N648" s="58">
        <v>0</v>
      </c>
      <c r="O648" s="58">
        <v>0</v>
      </c>
      <c r="P648" s="58">
        <v>0</v>
      </c>
      <c r="Q648" s="58">
        <v>0</v>
      </c>
      <c r="R648" s="58">
        <v>0</v>
      </c>
      <c r="S648" s="58">
        <v>0</v>
      </c>
      <c r="T648" s="58">
        <v>0</v>
      </c>
      <c r="U648"/>
    </row>
    <row r="649" spans="1:21">
      <c r="A649" s="104" t="s">
        <v>358</v>
      </c>
      <c r="B649" s="58"/>
      <c r="C649" s="58"/>
      <c r="D649" s="58"/>
      <c r="E649" s="58"/>
      <c r="F649" s="58"/>
      <c r="G649" s="58"/>
      <c r="H649" s="58"/>
      <c r="I649" s="58"/>
      <c r="J649" s="58"/>
      <c r="K649" s="58"/>
      <c r="L649" s="58"/>
      <c r="M649" s="58"/>
      <c r="N649" s="58"/>
      <c r="O649" s="58"/>
      <c r="P649" s="58"/>
      <c r="Q649" s="58"/>
      <c r="R649" s="58"/>
      <c r="S649" s="58"/>
      <c r="T649" s="58"/>
      <c r="U649"/>
    </row>
    <row r="650" spans="1:21">
      <c r="A650" s="105" t="s">
        <v>622</v>
      </c>
      <c r="B650" s="58"/>
      <c r="C650" s="58"/>
      <c r="D650" s="58"/>
      <c r="E650" s="58"/>
      <c r="F650" s="58"/>
      <c r="G650" s="58"/>
      <c r="H650" s="58"/>
      <c r="I650" s="58"/>
      <c r="J650" s="58"/>
      <c r="K650" s="58"/>
      <c r="L650" s="58"/>
      <c r="M650" s="58"/>
      <c r="N650" s="58"/>
      <c r="O650" s="58">
        <v>4071652</v>
      </c>
      <c r="P650" s="58">
        <v>3957661</v>
      </c>
      <c r="Q650" s="58">
        <v>3837971</v>
      </c>
      <c r="R650" s="58">
        <v>3712297</v>
      </c>
      <c r="S650" s="58">
        <v>3580339</v>
      </c>
      <c r="T650" s="58">
        <v>4071652</v>
      </c>
      <c r="U650"/>
    </row>
    <row r="651" spans="1:21">
      <c r="A651" s="105" t="s">
        <v>614</v>
      </c>
      <c r="B651" s="58"/>
      <c r="C651" s="58"/>
      <c r="D651" s="58"/>
      <c r="E651" s="58"/>
      <c r="F651" s="58"/>
      <c r="G651" s="58"/>
      <c r="H651" s="58"/>
      <c r="I651" s="58"/>
      <c r="J651" s="58"/>
      <c r="K651" s="58"/>
      <c r="L651" s="58"/>
      <c r="M651" s="58"/>
      <c r="N651" s="58"/>
      <c r="O651" s="58">
        <v>0</v>
      </c>
      <c r="P651" s="58">
        <v>374401.57</v>
      </c>
      <c r="Q651" s="58">
        <v>187787.77</v>
      </c>
      <c r="R651" s="58">
        <v>181184.58</v>
      </c>
      <c r="S651" s="58">
        <v>174788.58</v>
      </c>
      <c r="T651" s="58">
        <v>918162.49999999988</v>
      </c>
      <c r="U651"/>
    </row>
    <row r="652" spans="1:21">
      <c r="A652" s="105" t="s">
        <v>616</v>
      </c>
      <c r="B652" s="58"/>
      <c r="C652" s="58"/>
      <c r="D652" s="58"/>
      <c r="E652" s="58"/>
      <c r="F652" s="58"/>
      <c r="G652" s="58"/>
      <c r="H652" s="58"/>
      <c r="I652" s="58"/>
      <c r="J652" s="58"/>
      <c r="K652" s="58"/>
      <c r="L652" s="58"/>
      <c r="M652" s="58"/>
      <c r="N652" s="58"/>
      <c r="O652" s="58">
        <v>0</v>
      </c>
      <c r="P652" s="58">
        <v>113990.39999999999</v>
      </c>
      <c r="Q652" s="58">
        <v>119689.92</v>
      </c>
      <c r="R652" s="58">
        <v>125674.42</v>
      </c>
      <c r="S652" s="58">
        <v>131958.14000000001</v>
      </c>
      <c r="T652" s="58">
        <v>491312.88</v>
      </c>
      <c r="U652"/>
    </row>
    <row r="653" spans="1:21">
      <c r="A653" s="105" t="s">
        <v>612</v>
      </c>
      <c r="B653" s="58"/>
      <c r="C653" s="58"/>
      <c r="D653" s="58"/>
      <c r="E653" s="58"/>
      <c r="F653" s="58"/>
      <c r="G653" s="58"/>
      <c r="H653" s="58"/>
      <c r="I653" s="58"/>
      <c r="J653" s="58"/>
      <c r="K653" s="58"/>
      <c r="L653" s="58"/>
      <c r="M653" s="58"/>
      <c r="N653" s="58">
        <v>0</v>
      </c>
      <c r="O653" s="58">
        <v>0</v>
      </c>
      <c r="P653" s="58">
        <v>0</v>
      </c>
      <c r="Q653" s="58">
        <v>0</v>
      </c>
      <c r="R653" s="58">
        <v>0</v>
      </c>
      <c r="S653" s="58">
        <v>0</v>
      </c>
      <c r="T653" s="58">
        <v>0</v>
      </c>
      <c r="U653"/>
    </row>
    <row r="654" spans="1:21">
      <c r="A654" s="104" t="s">
        <v>362</v>
      </c>
      <c r="B654" s="58"/>
      <c r="C654" s="58"/>
      <c r="D654" s="58"/>
      <c r="E654" s="58"/>
      <c r="F654" s="58"/>
      <c r="G654" s="58"/>
      <c r="H654" s="58"/>
      <c r="I654" s="58"/>
      <c r="J654" s="58"/>
      <c r="K654" s="58"/>
      <c r="L654" s="58"/>
      <c r="M654" s="58"/>
      <c r="N654" s="58"/>
      <c r="O654" s="58"/>
      <c r="P654" s="58"/>
      <c r="Q654" s="58"/>
      <c r="R654" s="58"/>
      <c r="S654" s="58"/>
      <c r="T654" s="58"/>
      <c r="U654"/>
    </row>
    <row r="655" spans="1:21">
      <c r="A655" s="105" t="s">
        <v>622</v>
      </c>
      <c r="B655" s="58"/>
      <c r="C655" s="58"/>
      <c r="D655" s="58"/>
      <c r="E655" s="58"/>
      <c r="F655" s="58"/>
      <c r="G655" s="58"/>
      <c r="H655" s="58"/>
      <c r="I655" s="58"/>
      <c r="J655" s="58"/>
      <c r="K655" s="58"/>
      <c r="L655" s="58"/>
      <c r="M655" s="58"/>
      <c r="N655" s="58"/>
      <c r="O655" s="58">
        <v>3394508</v>
      </c>
      <c r="P655" s="58">
        <v>3299475</v>
      </c>
      <c r="Q655" s="58">
        <v>3199690</v>
      </c>
      <c r="R655" s="58">
        <v>3094916</v>
      </c>
      <c r="S655" s="58">
        <v>2984904</v>
      </c>
      <c r="T655" s="58">
        <v>3394508</v>
      </c>
      <c r="U655"/>
    </row>
    <row r="656" spans="1:21">
      <c r="A656" s="105" t="s">
        <v>614</v>
      </c>
      <c r="B656" s="58"/>
      <c r="C656" s="58"/>
      <c r="D656" s="58"/>
      <c r="E656" s="58"/>
      <c r="F656" s="58"/>
      <c r="G656" s="58"/>
      <c r="H656" s="58"/>
      <c r="I656" s="58"/>
      <c r="J656" s="58"/>
      <c r="K656" s="58"/>
      <c r="L656" s="58"/>
      <c r="M656" s="58"/>
      <c r="N656" s="58"/>
      <c r="O656" s="58">
        <v>0</v>
      </c>
      <c r="P656" s="58">
        <v>272542.28999999998</v>
      </c>
      <c r="Q656" s="58">
        <v>157768.06</v>
      </c>
      <c r="R656" s="58">
        <v>152309.6</v>
      </c>
      <c r="S656" s="58">
        <v>147040.17000000001</v>
      </c>
      <c r="T656" s="58">
        <v>729660.12</v>
      </c>
      <c r="U656"/>
    </row>
    <row r="657" spans="1:21">
      <c r="A657" s="105" t="s">
        <v>616</v>
      </c>
      <c r="B657" s="58"/>
      <c r="C657" s="58"/>
      <c r="D657" s="58"/>
      <c r="E657" s="58"/>
      <c r="F657" s="58"/>
      <c r="G657" s="58"/>
      <c r="H657" s="58"/>
      <c r="I657" s="58"/>
      <c r="J657" s="58"/>
      <c r="K657" s="58"/>
      <c r="L657" s="58"/>
      <c r="M657" s="58"/>
      <c r="N657" s="58"/>
      <c r="O657" s="58">
        <v>0</v>
      </c>
      <c r="P657" s="58">
        <v>95033.02</v>
      </c>
      <c r="Q657" s="58">
        <v>99784.67</v>
      </c>
      <c r="R657" s="58">
        <v>104773.9</v>
      </c>
      <c r="S657" s="58">
        <v>110012.58</v>
      </c>
      <c r="T657" s="58">
        <v>409604.17</v>
      </c>
      <c r="U657"/>
    </row>
    <row r="658" spans="1:21">
      <c r="A658" s="105" t="s">
        <v>612</v>
      </c>
      <c r="B658" s="58"/>
      <c r="C658" s="58"/>
      <c r="D658" s="58"/>
      <c r="E658" s="58"/>
      <c r="F658" s="58"/>
      <c r="G658" s="58"/>
      <c r="H658" s="58"/>
      <c r="I658" s="58"/>
      <c r="J658" s="58"/>
      <c r="K658" s="58"/>
      <c r="L658" s="58"/>
      <c r="M658" s="58"/>
      <c r="N658" s="58">
        <v>0</v>
      </c>
      <c r="O658" s="58">
        <v>0</v>
      </c>
      <c r="P658" s="58">
        <v>0</v>
      </c>
      <c r="Q658" s="58">
        <v>0</v>
      </c>
      <c r="R658" s="58">
        <v>0</v>
      </c>
      <c r="S658" s="58">
        <v>0</v>
      </c>
      <c r="T658" s="58">
        <v>0</v>
      </c>
      <c r="U658"/>
    </row>
    <row r="659" spans="1:21">
      <c r="A659" s="104" t="s">
        <v>525</v>
      </c>
      <c r="B659" s="58"/>
      <c r="C659" s="58"/>
      <c r="D659" s="58"/>
      <c r="E659" s="58"/>
      <c r="F659" s="58"/>
      <c r="G659" s="58"/>
      <c r="H659" s="58"/>
      <c r="I659" s="58"/>
      <c r="J659" s="58"/>
      <c r="K659" s="58"/>
      <c r="L659" s="58"/>
      <c r="M659" s="58"/>
      <c r="N659" s="58"/>
      <c r="O659" s="58"/>
      <c r="P659" s="58"/>
      <c r="Q659" s="58"/>
      <c r="R659" s="58"/>
      <c r="S659" s="58"/>
      <c r="T659" s="58"/>
      <c r="U659"/>
    </row>
    <row r="660" spans="1:21">
      <c r="A660" s="105" t="s">
        <v>622</v>
      </c>
      <c r="B660" s="58"/>
      <c r="C660" s="58"/>
      <c r="D660" s="58"/>
      <c r="E660" s="58"/>
      <c r="F660" s="58"/>
      <c r="G660" s="58"/>
      <c r="H660" s="58"/>
      <c r="I660" s="58"/>
      <c r="J660" s="58"/>
      <c r="K660" s="58"/>
      <c r="L660" s="58"/>
      <c r="M660" s="58"/>
      <c r="N660" s="58"/>
      <c r="O660" s="58"/>
      <c r="P660" s="58">
        <v>17761140</v>
      </c>
      <c r="Q660" s="58">
        <v>17223997</v>
      </c>
      <c r="R660" s="58">
        <v>16659997</v>
      </c>
      <c r="S660" s="58">
        <v>16067797</v>
      </c>
      <c r="T660" s="58">
        <v>17761140</v>
      </c>
      <c r="U660"/>
    </row>
    <row r="661" spans="1:21">
      <c r="A661" s="105" t="s">
        <v>614</v>
      </c>
      <c r="B661" s="58"/>
      <c r="C661" s="58"/>
      <c r="D661" s="58"/>
      <c r="E661" s="58"/>
      <c r="F661" s="58"/>
      <c r="G661" s="58"/>
      <c r="H661" s="58"/>
      <c r="I661" s="58"/>
      <c r="J661" s="58"/>
      <c r="K661" s="58"/>
      <c r="L661" s="58"/>
      <c r="M661" s="58"/>
      <c r="N661" s="58"/>
      <c r="O661" s="58"/>
      <c r="P661" s="58">
        <v>0</v>
      </c>
      <c r="Q661" s="58">
        <v>624777.69999999995</v>
      </c>
      <c r="R661" s="58">
        <v>604227.39</v>
      </c>
      <c r="S661" s="58">
        <v>584441.96</v>
      </c>
      <c r="T661" s="58">
        <v>1813447.0499999998</v>
      </c>
      <c r="U661"/>
    </row>
    <row r="662" spans="1:21">
      <c r="A662" s="105" t="s">
        <v>616</v>
      </c>
      <c r="B662" s="58"/>
      <c r="C662" s="58"/>
      <c r="D662" s="58"/>
      <c r="E662" s="58"/>
      <c r="F662" s="58"/>
      <c r="G662" s="58"/>
      <c r="H662" s="58"/>
      <c r="I662" s="58"/>
      <c r="J662" s="58"/>
      <c r="K662" s="58"/>
      <c r="L662" s="58"/>
      <c r="M662" s="58"/>
      <c r="N662" s="58"/>
      <c r="O662" s="58"/>
      <c r="P662" s="58">
        <v>0</v>
      </c>
      <c r="Q662" s="58">
        <v>537142.82999999996</v>
      </c>
      <c r="R662" s="58">
        <v>563999.97</v>
      </c>
      <c r="S662" s="58">
        <v>592199.97</v>
      </c>
      <c r="T662" s="58">
        <v>1693342.7699999998</v>
      </c>
      <c r="U662"/>
    </row>
    <row r="663" spans="1:21">
      <c r="A663" s="105" t="s">
        <v>612</v>
      </c>
      <c r="B663" s="58"/>
      <c r="C663" s="58"/>
      <c r="D663" s="58"/>
      <c r="E663" s="58"/>
      <c r="F663" s="58"/>
      <c r="G663" s="58"/>
      <c r="H663" s="58"/>
      <c r="I663" s="58"/>
      <c r="J663" s="58"/>
      <c r="K663" s="58"/>
      <c r="L663" s="58"/>
      <c r="M663" s="58"/>
      <c r="N663" s="58"/>
      <c r="O663" s="58">
        <v>0</v>
      </c>
      <c r="P663" s="58">
        <v>0</v>
      </c>
      <c r="Q663" s="58">
        <v>0</v>
      </c>
      <c r="R663" s="58">
        <v>0</v>
      </c>
      <c r="S663" s="58">
        <v>0</v>
      </c>
      <c r="T663" s="58">
        <v>0</v>
      </c>
      <c r="U663"/>
    </row>
    <row r="664" spans="1:21">
      <c r="A664" s="104" t="s">
        <v>369</v>
      </c>
      <c r="B664" s="58"/>
      <c r="C664" s="58"/>
      <c r="D664" s="58"/>
      <c r="E664" s="58"/>
      <c r="F664" s="58"/>
      <c r="G664" s="58"/>
      <c r="H664" s="58"/>
      <c r="I664" s="58"/>
      <c r="J664" s="58"/>
      <c r="K664" s="58"/>
      <c r="L664" s="58"/>
      <c r="M664" s="58"/>
      <c r="N664" s="58"/>
      <c r="O664" s="58"/>
      <c r="P664" s="58"/>
      <c r="Q664" s="58"/>
      <c r="R664" s="58"/>
      <c r="S664" s="58"/>
      <c r="T664" s="58"/>
      <c r="U664"/>
    </row>
    <row r="665" spans="1:21">
      <c r="A665" s="105" t="s">
        <v>622</v>
      </c>
      <c r="B665" s="58"/>
      <c r="C665" s="58"/>
      <c r="D665" s="58"/>
      <c r="E665" s="58"/>
      <c r="F665" s="58"/>
      <c r="G665" s="58"/>
      <c r="H665" s="58"/>
      <c r="I665" s="58"/>
      <c r="J665" s="58"/>
      <c r="K665" s="58"/>
      <c r="L665" s="58"/>
      <c r="M665" s="58"/>
      <c r="N665" s="58"/>
      <c r="O665" s="58"/>
      <c r="P665" s="58">
        <v>9000000</v>
      </c>
      <c r="Q665" s="58">
        <v>8811428</v>
      </c>
      <c r="R665" s="58">
        <v>8613427</v>
      </c>
      <c r="S665" s="58">
        <v>8405526</v>
      </c>
      <c r="T665" s="58">
        <v>9000000</v>
      </c>
      <c r="U665"/>
    </row>
    <row r="666" spans="1:21">
      <c r="A666" s="105" t="s">
        <v>614</v>
      </c>
      <c r="B666" s="58"/>
      <c r="C666" s="58"/>
      <c r="D666" s="58"/>
      <c r="E666" s="58"/>
      <c r="F666" s="58"/>
      <c r="G666" s="58"/>
      <c r="H666" s="58"/>
      <c r="I666" s="58"/>
      <c r="J666" s="58"/>
      <c r="K666" s="58"/>
      <c r="L666" s="58"/>
      <c r="M666" s="58"/>
      <c r="N666" s="58"/>
      <c r="O666" s="58"/>
      <c r="P666" s="58">
        <v>0</v>
      </c>
      <c r="Q666" s="58">
        <v>295545</v>
      </c>
      <c r="R666" s="58">
        <v>288562.02</v>
      </c>
      <c r="S666" s="58">
        <v>282077.78000000003</v>
      </c>
      <c r="T666" s="58">
        <v>866184.8</v>
      </c>
      <c r="U666"/>
    </row>
    <row r="667" spans="1:21">
      <c r="A667" s="105" t="s">
        <v>616</v>
      </c>
      <c r="B667" s="58"/>
      <c r="C667" s="58"/>
      <c r="D667" s="58"/>
      <c r="E667" s="58"/>
      <c r="F667" s="58"/>
      <c r="G667" s="58"/>
      <c r="H667" s="58"/>
      <c r="I667" s="58"/>
      <c r="J667" s="58"/>
      <c r="K667" s="58"/>
      <c r="L667" s="58"/>
      <c r="M667" s="58"/>
      <c r="N667" s="58"/>
      <c r="O667" s="58"/>
      <c r="P667" s="58">
        <v>0</v>
      </c>
      <c r="Q667" s="58">
        <v>188572.12</v>
      </c>
      <c r="R667" s="58">
        <v>198000.73</v>
      </c>
      <c r="S667" s="58">
        <v>207900.77</v>
      </c>
      <c r="T667" s="58">
        <v>594473.62</v>
      </c>
      <c r="U667"/>
    </row>
    <row r="668" spans="1:21">
      <c r="A668" s="105" t="s">
        <v>612</v>
      </c>
      <c r="B668" s="58"/>
      <c r="C668" s="58"/>
      <c r="D668" s="58"/>
      <c r="E668" s="58"/>
      <c r="F668" s="58"/>
      <c r="G668" s="58"/>
      <c r="H668" s="58"/>
      <c r="I668" s="58"/>
      <c r="J668" s="58"/>
      <c r="K668" s="58"/>
      <c r="L668" s="58"/>
      <c r="M668" s="58"/>
      <c r="N668" s="58"/>
      <c r="O668" s="58">
        <v>0</v>
      </c>
      <c r="P668" s="58">
        <v>0</v>
      </c>
      <c r="Q668" s="58">
        <v>0</v>
      </c>
      <c r="R668" s="58">
        <v>0</v>
      </c>
      <c r="S668" s="58">
        <v>0</v>
      </c>
      <c r="T668" s="58">
        <v>0</v>
      </c>
      <c r="U668"/>
    </row>
    <row r="669" spans="1:21">
      <c r="A669" s="104" t="s">
        <v>371</v>
      </c>
      <c r="B669" s="58"/>
      <c r="C669" s="58"/>
      <c r="D669" s="58"/>
      <c r="E669" s="58"/>
      <c r="F669" s="58"/>
      <c r="G669" s="58"/>
      <c r="H669" s="58"/>
      <c r="I669" s="58"/>
      <c r="J669" s="58"/>
      <c r="K669" s="58"/>
      <c r="L669" s="58"/>
      <c r="M669" s="58"/>
      <c r="N669" s="58"/>
      <c r="O669" s="58"/>
      <c r="P669" s="58"/>
      <c r="Q669" s="58"/>
      <c r="R669" s="58"/>
      <c r="S669" s="58"/>
      <c r="T669" s="58"/>
      <c r="U669"/>
    </row>
    <row r="670" spans="1:21">
      <c r="A670" s="105" t="s">
        <v>622</v>
      </c>
      <c r="B670" s="58"/>
      <c r="C670" s="58"/>
      <c r="D670" s="58"/>
      <c r="E670" s="58"/>
      <c r="F670" s="58"/>
      <c r="G670" s="58"/>
      <c r="H670" s="58"/>
      <c r="I670" s="58"/>
      <c r="J670" s="58"/>
      <c r="K670" s="58"/>
      <c r="L670" s="58"/>
      <c r="M670" s="58"/>
      <c r="N670" s="58"/>
      <c r="O670" s="58"/>
      <c r="P670" s="58"/>
      <c r="Q670" s="58">
        <v>9704350</v>
      </c>
      <c r="R670" s="58">
        <v>9301876</v>
      </c>
      <c r="S670" s="58">
        <v>8889737</v>
      </c>
      <c r="T670" s="58">
        <v>9704350</v>
      </c>
      <c r="U670"/>
    </row>
    <row r="671" spans="1:21">
      <c r="A671" s="105" t="s">
        <v>614</v>
      </c>
      <c r="B671" s="58"/>
      <c r="C671" s="58"/>
      <c r="D671" s="58"/>
      <c r="E671" s="58"/>
      <c r="F671" s="58"/>
      <c r="G671" s="58"/>
      <c r="H671" s="58"/>
      <c r="I671" s="58"/>
      <c r="J671" s="58"/>
      <c r="K671" s="58"/>
      <c r="L671" s="58"/>
      <c r="M671" s="58"/>
      <c r="N671" s="58"/>
      <c r="O671" s="58"/>
      <c r="P671" s="58"/>
      <c r="Q671" s="58">
        <v>175357.47</v>
      </c>
      <c r="R671" s="58">
        <v>227389.21</v>
      </c>
      <c r="S671" s="58">
        <v>217724.49</v>
      </c>
      <c r="T671" s="58">
        <v>620471.16999999993</v>
      </c>
      <c r="U671"/>
    </row>
    <row r="672" spans="1:21">
      <c r="A672" s="105" t="s">
        <v>616</v>
      </c>
      <c r="B672" s="58"/>
      <c r="C672" s="58"/>
      <c r="D672" s="58"/>
      <c r="E672" s="58"/>
      <c r="F672" s="58"/>
      <c r="G672" s="58"/>
      <c r="H672" s="58"/>
      <c r="I672" s="58"/>
      <c r="J672" s="58"/>
      <c r="K672" s="58"/>
      <c r="L672" s="58"/>
      <c r="M672" s="58"/>
      <c r="N672" s="58"/>
      <c r="O672" s="58"/>
      <c r="P672" s="58"/>
      <c r="Q672" s="58">
        <v>295649.86</v>
      </c>
      <c r="R672" s="58">
        <v>402474.39</v>
      </c>
      <c r="S672" s="58">
        <v>412139.11</v>
      </c>
      <c r="T672" s="58">
        <v>1110263.3599999999</v>
      </c>
      <c r="U672"/>
    </row>
    <row r="673" spans="1:21">
      <c r="A673" s="105" t="s">
        <v>612</v>
      </c>
      <c r="B673" s="58"/>
      <c r="C673" s="58"/>
      <c r="D673" s="58"/>
      <c r="E673" s="58"/>
      <c r="F673" s="58"/>
      <c r="G673" s="58"/>
      <c r="H673" s="58"/>
      <c r="I673" s="58"/>
      <c r="J673" s="58"/>
      <c r="K673" s="58"/>
      <c r="L673" s="58"/>
      <c r="M673" s="58"/>
      <c r="N673" s="58"/>
      <c r="O673" s="58"/>
      <c r="P673" s="58">
        <v>0</v>
      </c>
      <c r="Q673" s="58">
        <v>0</v>
      </c>
      <c r="R673" s="58">
        <v>0</v>
      </c>
      <c r="S673" s="58">
        <v>0</v>
      </c>
      <c r="T673" s="58">
        <v>0</v>
      </c>
      <c r="U673"/>
    </row>
    <row r="674" spans="1:21">
      <c r="A674" s="104" t="s">
        <v>488</v>
      </c>
      <c r="B674" s="58"/>
      <c r="C674" s="58"/>
      <c r="D674" s="58"/>
      <c r="E674" s="58"/>
      <c r="F674" s="58"/>
      <c r="G674" s="58"/>
      <c r="H674" s="58"/>
      <c r="I674" s="58"/>
      <c r="J674" s="58"/>
      <c r="K674" s="58"/>
      <c r="L674" s="58"/>
      <c r="M674" s="58"/>
      <c r="N674" s="58"/>
      <c r="O674" s="58"/>
      <c r="P674" s="58"/>
      <c r="Q674" s="58"/>
      <c r="R674" s="58"/>
      <c r="S674" s="58"/>
      <c r="T674" s="58"/>
      <c r="U674"/>
    </row>
    <row r="675" spans="1:21">
      <c r="A675" s="105" t="s">
        <v>622</v>
      </c>
      <c r="B675" s="58"/>
      <c r="C675" s="58"/>
      <c r="D675" s="58"/>
      <c r="E675" s="58"/>
      <c r="F675" s="58"/>
      <c r="G675" s="58"/>
      <c r="H675" s="58"/>
      <c r="I675" s="58"/>
      <c r="J675" s="58"/>
      <c r="K675" s="58"/>
      <c r="L675" s="58"/>
      <c r="M675" s="58"/>
      <c r="N675" s="58"/>
      <c r="O675" s="58"/>
      <c r="P675" s="58"/>
      <c r="Q675" s="58">
        <v>10461760</v>
      </c>
      <c r="R675" s="58">
        <v>10145369</v>
      </c>
      <c r="S675" s="58">
        <v>9813159</v>
      </c>
      <c r="T675" s="58">
        <v>10461760</v>
      </c>
      <c r="U675"/>
    </row>
    <row r="676" spans="1:21">
      <c r="A676" s="105" t="s">
        <v>614</v>
      </c>
      <c r="B676" s="58"/>
      <c r="C676" s="58"/>
      <c r="D676" s="58"/>
      <c r="E676" s="58"/>
      <c r="F676" s="58"/>
      <c r="G676" s="58"/>
      <c r="H676" s="58"/>
      <c r="I676" s="58"/>
      <c r="J676" s="58"/>
      <c r="K676" s="58"/>
      <c r="L676" s="58"/>
      <c r="M676" s="58"/>
      <c r="N676" s="58"/>
      <c r="O676" s="58"/>
      <c r="P676" s="58"/>
      <c r="Q676" s="58">
        <v>0</v>
      </c>
      <c r="R676" s="58">
        <v>321306.8</v>
      </c>
      <c r="S676" s="58">
        <v>416594.22</v>
      </c>
      <c r="T676" s="58">
        <v>737901.02</v>
      </c>
      <c r="U676"/>
    </row>
    <row r="677" spans="1:21">
      <c r="A677" s="105" t="s">
        <v>616</v>
      </c>
      <c r="B677" s="58"/>
      <c r="C677" s="58"/>
      <c r="D677" s="58"/>
      <c r="E677" s="58"/>
      <c r="F677" s="58"/>
      <c r="G677" s="58"/>
      <c r="H677" s="58"/>
      <c r="I677" s="58"/>
      <c r="J677" s="58"/>
      <c r="K677" s="58"/>
      <c r="L677" s="58"/>
      <c r="M677" s="58"/>
      <c r="N677" s="58"/>
      <c r="O677" s="58"/>
      <c r="P677" s="58"/>
      <c r="Q677" s="58">
        <v>0</v>
      </c>
      <c r="R677" s="58">
        <v>316390.68</v>
      </c>
      <c r="S677" s="58">
        <v>332210.21000000002</v>
      </c>
      <c r="T677" s="58">
        <v>648600.89</v>
      </c>
      <c r="U677"/>
    </row>
    <row r="678" spans="1:21">
      <c r="A678" s="105" t="s">
        <v>612</v>
      </c>
      <c r="B678" s="58"/>
      <c r="C678" s="58"/>
      <c r="D678" s="58"/>
      <c r="E678" s="58"/>
      <c r="F678" s="58"/>
      <c r="G678" s="58"/>
      <c r="H678" s="58"/>
      <c r="I678" s="58"/>
      <c r="J678" s="58"/>
      <c r="K678" s="58"/>
      <c r="L678" s="58"/>
      <c r="M678" s="58"/>
      <c r="N678" s="58"/>
      <c r="O678" s="58"/>
      <c r="P678" s="58">
        <v>0</v>
      </c>
      <c r="Q678" s="58">
        <v>0</v>
      </c>
      <c r="R678" s="58">
        <v>0</v>
      </c>
      <c r="S678" s="58">
        <v>0</v>
      </c>
      <c r="T678" s="58">
        <v>0</v>
      </c>
      <c r="U678"/>
    </row>
    <row r="679" spans="1:21">
      <c r="A679" s="104" t="s">
        <v>524</v>
      </c>
      <c r="B679" s="58"/>
      <c r="C679" s="58"/>
      <c r="D679" s="58"/>
      <c r="E679" s="58"/>
      <c r="F679" s="58"/>
      <c r="G679" s="58"/>
      <c r="H679" s="58"/>
      <c r="I679" s="58"/>
      <c r="J679" s="58"/>
      <c r="K679" s="58"/>
      <c r="L679" s="58"/>
      <c r="M679" s="58"/>
      <c r="N679" s="58"/>
      <c r="O679" s="58"/>
      <c r="P679" s="58"/>
      <c r="Q679" s="58"/>
      <c r="R679" s="58"/>
      <c r="S679" s="58"/>
      <c r="T679" s="58"/>
      <c r="U679"/>
    </row>
    <row r="680" spans="1:21">
      <c r="A680" s="105" t="s">
        <v>622</v>
      </c>
      <c r="B680" s="58"/>
      <c r="C680" s="58"/>
      <c r="D680" s="58"/>
      <c r="E680" s="58"/>
      <c r="F680" s="58"/>
      <c r="G680" s="58"/>
      <c r="H680" s="58"/>
      <c r="I680" s="58"/>
      <c r="J680" s="58"/>
      <c r="K680" s="58"/>
      <c r="L680" s="58"/>
      <c r="M680" s="58"/>
      <c r="N680" s="58"/>
      <c r="O680" s="58"/>
      <c r="P680" s="58"/>
      <c r="Q680" s="58">
        <v>3000000</v>
      </c>
      <c r="R680" s="58">
        <v>2909272</v>
      </c>
      <c r="S680" s="58">
        <v>2814008</v>
      </c>
      <c r="T680" s="58">
        <v>3000000</v>
      </c>
      <c r="U680"/>
    </row>
    <row r="681" spans="1:21">
      <c r="A681" s="105" t="s">
        <v>614</v>
      </c>
      <c r="B681" s="58"/>
      <c r="C681" s="58"/>
      <c r="D681" s="58"/>
      <c r="E681" s="58"/>
      <c r="F681" s="58"/>
      <c r="G681" s="58"/>
      <c r="H681" s="58"/>
      <c r="I681" s="58"/>
      <c r="J681" s="58"/>
      <c r="K681" s="58"/>
      <c r="L681" s="58"/>
      <c r="M681" s="58"/>
      <c r="N681" s="58"/>
      <c r="O681" s="58"/>
      <c r="P681" s="58"/>
      <c r="Q681" s="58">
        <v>0</v>
      </c>
      <c r="R681" s="58">
        <v>62562.5</v>
      </c>
      <c r="S681" s="58">
        <v>81116.17</v>
      </c>
      <c r="T681" s="58">
        <v>143678.66999999998</v>
      </c>
      <c r="U681"/>
    </row>
    <row r="682" spans="1:21">
      <c r="A682" s="105" t="s">
        <v>616</v>
      </c>
      <c r="B682" s="58"/>
      <c r="C682" s="58"/>
      <c r="D682" s="58"/>
      <c r="E682" s="58"/>
      <c r="F682" s="58"/>
      <c r="G682" s="58"/>
      <c r="H682" s="58"/>
      <c r="I682" s="58"/>
      <c r="J682" s="58"/>
      <c r="K682" s="58"/>
      <c r="L682" s="58"/>
      <c r="M682" s="58"/>
      <c r="N682" s="58"/>
      <c r="O682" s="58"/>
      <c r="P682" s="58"/>
      <c r="Q682" s="58">
        <v>0</v>
      </c>
      <c r="R682" s="58">
        <v>90727.76</v>
      </c>
      <c r="S682" s="58">
        <v>95264.15</v>
      </c>
      <c r="T682" s="58">
        <v>185991.90999999997</v>
      </c>
      <c r="U682"/>
    </row>
    <row r="683" spans="1:21">
      <c r="A683" s="105" t="s">
        <v>612</v>
      </c>
      <c r="B683" s="58"/>
      <c r="C683" s="58"/>
      <c r="D683" s="58"/>
      <c r="E683" s="58"/>
      <c r="F683" s="58"/>
      <c r="G683" s="58"/>
      <c r="H683" s="58"/>
      <c r="I683" s="58"/>
      <c r="J683" s="58"/>
      <c r="K683" s="58"/>
      <c r="L683" s="58"/>
      <c r="M683" s="58"/>
      <c r="N683" s="58"/>
      <c r="O683" s="58"/>
      <c r="P683" s="58">
        <v>0</v>
      </c>
      <c r="Q683" s="58">
        <v>0</v>
      </c>
      <c r="R683" s="58">
        <v>0</v>
      </c>
      <c r="S683" s="58">
        <v>0</v>
      </c>
      <c r="T683" s="58">
        <v>0</v>
      </c>
      <c r="U683"/>
    </row>
    <row r="684" spans="1:21">
      <c r="A684" s="104" t="s">
        <v>494</v>
      </c>
      <c r="B684" s="58"/>
      <c r="C684" s="58"/>
      <c r="D684" s="58"/>
      <c r="E684" s="58"/>
      <c r="F684" s="58"/>
      <c r="G684" s="58"/>
      <c r="H684" s="58"/>
      <c r="I684" s="58"/>
      <c r="J684" s="58"/>
      <c r="K684" s="58"/>
      <c r="L684" s="58"/>
      <c r="M684" s="58"/>
      <c r="N684" s="58"/>
      <c r="O684" s="58"/>
      <c r="P684" s="58"/>
      <c r="Q684" s="58"/>
      <c r="R684" s="58"/>
      <c r="S684" s="58"/>
      <c r="T684" s="58"/>
      <c r="U684"/>
    </row>
    <row r="685" spans="1:21">
      <c r="A685" s="105" t="s">
        <v>622</v>
      </c>
      <c r="B685" s="58"/>
      <c r="C685" s="58"/>
      <c r="D685" s="58"/>
      <c r="E685" s="58"/>
      <c r="F685" s="58"/>
      <c r="G685" s="58"/>
      <c r="H685" s="58"/>
      <c r="I685" s="58"/>
      <c r="J685" s="58"/>
      <c r="K685" s="58"/>
      <c r="L685" s="58"/>
      <c r="M685" s="58"/>
      <c r="N685" s="58"/>
      <c r="O685" s="58"/>
      <c r="P685" s="58"/>
      <c r="Q685" s="58">
        <v>8979568</v>
      </c>
      <c r="R685" s="58">
        <v>8685532</v>
      </c>
      <c r="S685" s="58">
        <v>8376794</v>
      </c>
      <c r="T685" s="58">
        <v>8979568</v>
      </c>
      <c r="U685"/>
    </row>
    <row r="686" spans="1:21">
      <c r="A686" s="105" t="s">
        <v>614</v>
      </c>
      <c r="B686" s="58"/>
      <c r="C686" s="58"/>
      <c r="D686" s="58"/>
      <c r="E686" s="58"/>
      <c r="F686" s="58"/>
      <c r="G686" s="58"/>
      <c r="H686" s="58"/>
      <c r="I686" s="58"/>
      <c r="J686" s="58"/>
      <c r="K686" s="58"/>
      <c r="L686" s="58"/>
      <c r="M686" s="58"/>
      <c r="N686" s="58"/>
      <c r="O686" s="58"/>
      <c r="P686" s="58"/>
      <c r="Q686" s="58">
        <v>22669.41</v>
      </c>
      <c r="R686" s="58">
        <v>271307.68</v>
      </c>
      <c r="S686" s="58">
        <v>262423.71000000002</v>
      </c>
      <c r="T686" s="58">
        <v>556400.80000000005</v>
      </c>
      <c r="U686"/>
    </row>
    <row r="687" spans="1:21">
      <c r="A687" s="105" t="s">
        <v>616</v>
      </c>
      <c r="B687" s="58"/>
      <c r="C687" s="58"/>
      <c r="D687" s="58"/>
      <c r="E687" s="58"/>
      <c r="F687" s="58"/>
      <c r="G687" s="58"/>
      <c r="H687" s="58"/>
      <c r="I687" s="58"/>
      <c r="J687" s="58"/>
      <c r="K687" s="58"/>
      <c r="L687" s="58"/>
      <c r="M687" s="58"/>
      <c r="N687" s="58"/>
      <c r="O687" s="58"/>
      <c r="P687" s="58"/>
      <c r="Q687" s="58">
        <v>149054.29999999999</v>
      </c>
      <c r="R687" s="58">
        <v>294036.06</v>
      </c>
      <c r="S687" s="58">
        <v>308737.86</v>
      </c>
      <c r="T687" s="58">
        <v>751828.22</v>
      </c>
      <c r="U687"/>
    </row>
    <row r="688" spans="1:21">
      <c r="A688" s="105" t="s">
        <v>612</v>
      </c>
      <c r="B688" s="58"/>
      <c r="C688" s="58"/>
      <c r="D688" s="58"/>
      <c r="E688" s="58"/>
      <c r="F688" s="58"/>
      <c r="G688" s="58"/>
      <c r="H688" s="58"/>
      <c r="I688" s="58"/>
      <c r="J688" s="58"/>
      <c r="K688" s="58"/>
      <c r="L688" s="58"/>
      <c r="M688" s="58"/>
      <c r="N688" s="58"/>
      <c r="O688" s="58"/>
      <c r="P688" s="58">
        <v>0</v>
      </c>
      <c r="Q688" s="58">
        <v>0</v>
      </c>
      <c r="R688" s="58">
        <v>0</v>
      </c>
      <c r="S688" s="58">
        <v>0</v>
      </c>
      <c r="T688" s="58">
        <v>0</v>
      </c>
      <c r="U688"/>
    </row>
    <row r="689" spans="1:21">
      <c r="A689" s="104" t="s">
        <v>523</v>
      </c>
      <c r="B689" s="58"/>
      <c r="C689" s="58"/>
      <c r="D689" s="58"/>
      <c r="E689" s="58"/>
      <c r="F689" s="58"/>
      <c r="G689" s="58"/>
      <c r="H689" s="58"/>
      <c r="I689" s="58"/>
      <c r="J689" s="58"/>
      <c r="K689" s="58"/>
      <c r="L689" s="58"/>
      <c r="M689" s="58"/>
      <c r="N689" s="58"/>
      <c r="O689" s="58"/>
      <c r="P689" s="58"/>
      <c r="Q689" s="58"/>
      <c r="R689" s="58"/>
      <c r="S689" s="58"/>
      <c r="T689" s="58"/>
      <c r="U689"/>
    </row>
    <row r="690" spans="1:21">
      <c r="A690" s="105" t="s">
        <v>622</v>
      </c>
      <c r="B690" s="58"/>
      <c r="C690" s="58"/>
      <c r="D690" s="58"/>
      <c r="E690" s="58"/>
      <c r="F690" s="58"/>
      <c r="G690" s="58"/>
      <c r="H690" s="58"/>
      <c r="I690" s="58"/>
      <c r="J690" s="58"/>
      <c r="K690" s="58"/>
      <c r="L690" s="58"/>
      <c r="M690" s="58"/>
      <c r="N690" s="58"/>
      <c r="O690" s="58"/>
      <c r="P690" s="58"/>
      <c r="Q690" s="58">
        <v>17000000</v>
      </c>
      <c r="R690" s="58">
        <v>16443335</v>
      </c>
      <c r="S690" s="58">
        <v>15858836</v>
      </c>
      <c r="T690" s="58">
        <v>17000000</v>
      </c>
      <c r="U690"/>
    </row>
    <row r="691" spans="1:21">
      <c r="A691" s="105" t="s">
        <v>614</v>
      </c>
      <c r="B691" s="58"/>
      <c r="C691" s="58"/>
      <c r="D691" s="58"/>
      <c r="E691" s="58"/>
      <c r="F691" s="58"/>
      <c r="G691" s="58"/>
      <c r="H691" s="58"/>
      <c r="I691" s="58"/>
      <c r="J691" s="58"/>
      <c r="K691" s="58"/>
      <c r="L691" s="58"/>
      <c r="M691" s="58"/>
      <c r="N691" s="58"/>
      <c r="O691" s="58"/>
      <c r="P691" s="58"/>
      <c r="Q691" s="58">
        <v>0</v>
      </c>
      <c r="R691" s="58">
        <v>473993.06</v>
      </c>
      <c r="S691" s="58">
        <v>458472.15</v>
      </c>
      <c r="T691" s="58">
        <v>932465.21</v>
      </c>
      <c r="U691"/>
    </row>
    <row r="692" spans="1:21">
      <c r="A692" s="105" t="s">
        <v>616</v>
      </c>
      <c r="B692" s="58"/>
      <c r="C692" s="58"/>
      <c r="D692" s="58"/>
      <c r="E692" s="58"/>
      <c r="F692" s="58"/>
      <c r="G692" s="58"/>
      <c r="H692" s="58"/>
      <c r="I692" s="58"/>
      <c r="J692" s="58"/>
      <c r="K692" s="58"/>
      <c r="L692" s="58"/>
      <c r="M692" s="58"/>
      <c r="N692" s="58"/>
      <c r="O692" s="58"/>
      <c r="P692" s="58"/>
      <c r="Q692" s="58">
        <v>0</v>
      </c>
      <c r="R692" s="58">
        <v>556665.18000000005</v>
      </c>
      <c r="S692" s="58">
        <v>584498.43999999994</v>
      </c>
      <c r="T692" s="58">
        <v>1141163.6200000001</v>
      </c>
      <c r="U692"/>
    </row>
    <row r="693" spans="1:21">
      <c r="A693" s="105" t="s">
        <v>612</v>
      </c>
      <c r="B693" s="58"/>
      <c r="C693" s="58"/>
      <c r="D693" s="58"/>
      <c r="E693" s="58"/>
      <c r="F693" s="58"/>
      <c r="G693" s="58"/>
      <c r="H693" s="58"/>
      <c r="I693" s="58"/>
      <c r="J693" s="58"/>
      <c r="K693" s="58"/>
      <c r="L693" s="58"/>
      <c r="M693" s="58"/>
      <c r="N693" s="58"/>
      <c r="O693" s="58"/>
      <c r="P693" s="58">
        <v>0</v>
      </c>
      <c r="Q693" s="58">
        <v>0</v>
      </c>
      <c r="R693" s="58">
        <v>0</v>
      </c>
      <c r="S693" s="58">
        <v>0</v>
      </c>
      <c r="T693" s="58">
        <v>0</v>
      </c>
      <c r="U693"/>
    </row>
    <row r="694" spans="1:21">
      <c r="A694" s="104" t="s">
        <v>491</v>
      </c>
      <c r="B694" s="58"/>
      <c r="C694" s="58"/>
      <c r="D694" s="58"/>
      <c r="E694" s="58"/>
      <c r="F694" s="58"/>
      <c r="G694" s="58"/>
      <c r="H694" s="58"/>
      <c r="I694" s="58"/>
      <c r="J694" s="58"/>
      <c r="K694" s="58"/>
      <c r="L694" s="58"/>
      <c r="M694" s="58"/>
      <c r="N694" s="58"/>
      <c r="O694" s="58"/>
      <c r="P694" s="58"/>
      <c r="Q694" s="58"/>
      <c r="R694" s="58"/>
      <c r="S694" s="58"/>
      <c r="T694" s="58"/>
      <c r="U694"/>
    </row>
    <row r="695" spans="1:21">
      <c r="A695" s="105" t="s">
        <v>622</v>
      </c>
      <c r="B695" s="58"/>
      <c r="C695" s="58"/>
      <c r="D695" s="58"/>
      <c r="E695" s="58"/>
      <c r="F695" s="58"/>
      <c r="G695" s="58"/>
      <c r="H695" s="58"/>
      <c r="I695" s="58"/>
      <c r="J695" s="58"/>
      <c r="K695" s="58"/>
      <c r="L695" s="58"/>
      <c r="M695" s="58"/>
      <c r="N695" s="58"/>
      <c r="O695" s="58"/>
      <c r="P695" s="58"/>
      <c r="Q695" s="58"/>
      <c r="R695" s="58">
        <v>10632524</v>
      </c>
      <c r="S695" s="58">
        <v>10310969</v>
      </c>
      <c r="T695" s="58">
        <v>10632524</v>
      </c>
      <c r="U695"/>
    </row>
    <row r="696" spans="1:21">
      <c r="A696" s="105" t="s">
        <v>614</v>
      </c>
      <c r="B696" s="58"/>
      <c r="C696" s="58"/>
      <c r="D696" s="58"/>
      <c r="E696" s="58"/>
      <c r="F696" s="58"/>
      <c r="G696" s="58"/>
      <c r="H696" s="58"/>
      <c r="I696" s="58"/>
      <c r="J696" s="58"/>
      <c r="K696" s="58"/>
      <c r="L696" s="58"/>
      <c r="M696" s="58"/>
      <c r="N696" s="58"/>
      <c r="O696" s="58"/>
      <c r="P696" s="58"/>
      <c r="Q696" s="58"/>
      <c r="R696" s="58">
        <v>0</v>
      </c>
      <c r="S696" s="58">
        <v>382697.04</v>
      </c>
      <c r="T696" s="58">
        <v>382697.04</v>
      </c>
      <c r="U696"/>
    </row>
    <row r="697" spans="1:21">
      <c r="A697" s="105" t="s">
        <v>616</v>
      </c>
      <c r="B697" s="58"/>
      <c r="C697" s="58"/>
      <c r="D697" s="58"/>
      <c r="E697" s="58"/>
      <c r="F697" s="58"/>
      <c r="G697" s="58"/>
      <c r="H697" s="58"/>
      <c r="I697" s="58"/>
      <c r="J697" s="58"/>
      <c r="K697" s="58"/>
      <c r="L697" s="58"/>
      <c r="M697" s="58"/>
      <c r="N697" s="58"/>
      <c r="O697" s="58"/>
      <c r="P697" s="58"/>
      <c r="Q697" s="58"/>
      <c r="R697" s="58">
        <v>0</v>
      </c>
      <c r="S697" s="58">
        <v>321555.05</v>
      </c>
      <c r="T697" s="58">
        <v>321555.05</v>
      </c>
      <c r="U697"/>
    </row>
    <row r="698" spans="1:21">
      <c r="A698" s="105" t="s">
        <v>612</v>
      </c>
      <c r="B698" s="58"/>
      <c r="C698" s="58"/>
      <c r="D698" s="58"/>
      <c r="E698" s="58"/>
      <c r="F698" s="58"/>
      <c r="G698" s="58"/>
      <c r="H698" s="58"/>
      <c r="I698" s="58"/>
      <c r="J698" s="58"/>
      <c r="K698" s="58"/>
      <c r="L698" s="58"/>
      <c r="M698" s="58"/>
      <c r="N698" s="58"/>
      <c r="O698" s="58"/>
      <c r="P698" s="58"/>
      <c r="Q698" s="58">
        <v>0</v>
      </c>
      <c r="R698" s="58">
        <v>0</v>
      </c>
      <c r="S698" s="58">
        <v>0</v>
      </c>
      <c r="T698" s="58">
        <v>0</v>
      </c>
      <c r="U698"/>
    </row>
    <row r="699" spans="1:21">
      <c r="A699" s="104" t="s">
        <v>492</v>
      </c>
      <c r="B699" s="58"/>
      <c r="C699" s="58"/>
      <c r="D699" s="58"/>
      <c r="E699" s="58"/>
      <c r="F699" s="58"/>
      <c r="G699" s="58"/>
      <c r="H699" s="58"/>
      <c r="I699" s="58"/>
      <c r="J699" s="58"/>
      <c r="K699" s="58"/>
      <c r="L699" s="58"/>
      <c r="M699" s="58"/>
      <c r="N699" s="58"/>
      <c r="O699" s="58"/>
      <c r="P699" s="58"/>
      <c r="Q699" s="58"/>
      <c r="R699" s="58"/>
      <c r="S699" s="58"/>
      <c r="T699" s="58"/>
      <c r="U699"/>
    </row>
    <row r="700" spans="1:21">
      <c r="A700" s="105" t="s">
        <v>622</v>
      </c>
      <c r="B700" s="58"/>
      <c r="C700" s="58"/>
      <c r="D700" s="58"/>
      <c r="E700" s="58"/>
      <c r="F700" s="58"/>
      <c r="G700" s="58"/>
      <c r="H700" s="58"/>
      <c r="I700" s="58"/>
      <c r="J700" s="58"/>
      <c r="K700" s="58"/>
      <c r="L700" s="58"/>
      <c r="M700" s="58"/>
      <c r="N700" s="58"/>
      <c r="O700" s="58"/>
      <c r="P700" s="58"/>
      <c r="Q700" s="58"/>
      <c r="R700" s="58">
        <v>17000000</v>
      </c>
      <c r="S700" s="58">
        <v>16485876</v>
      </c>
      <c r="T700" s="58">
        <v>17000000</v>
      </c>
      <c r="U700"/>
    </row>
    <row r="701" spans="1:21">
      <c r="A701" s="105" t="s">
        <v>614</v>
      </c>
      <c r="B701" s="58"/>
      <c r="C701" s="58"/>
      <c r="D701" s="58"/>
      <c r="E701" s="58"/>
      <c r="F701" s="58"/>
      <c r="G701" s="58"/>
      <c r="H701" s="58"/>
      <c r="I701" s="58"/>
      <c r="J701" s="58"/>
      <c r="K701" s="58"/>
      <c r="L701" s="58"/>
      <c r="M701" s="58"/>
      <c r="N701" s="58"/>
      <c r="O701" s="58"/>
      <c r="P701" s="58"/>
      <c r="Q701" s="58"/>
      <c r="R701" s="58">
        <v>0</v>
      </c>
      <c r="S701" s="58">
        <v>473993.06</v>
      </c>
      <c r="T701" s="58">
        <v>473993.06</v>
      </c>
      <c r="U701"/>
    </row>
    <row r="702" spans="1:21">
      <c r="A702" s="105" t="s">
        <v>616</v>
      </c>
      <c r="B702" s="58"/>
      <c r="C702" s="58"/>
      <c r="D702" s="58"/>
      <c r="E702" s="58"/>
      <c r="F702" s="58"/>
      <c r="G702" s="58"/>
      <c r="H702" s="58"/>
      <c r="I702" s="58"/>
      <c r="J702" s="58"/>
      <c r="K702" s="58"/>
      <c r="L702" s="58"/>
      <c r="M702" s="58"/>
      <c r="N702" s="58"/>
      <c r="O702" s="58"/>
      <c r="P702" s="58"/>
      <c r="Q702" s="58"/>
      <c r="R702" s="58">
        <v>0</v>
      </c>
      <c r="S702" s="58">
        <v>514123.98</v>
      </c>
      <c r="T702" s="58">
        <v>514123.98</v>
      </c>
      <c r="U702"/>
    </row>
    <row r="703" spans="1:21">
      <c r="A703" s="105" t="s">
        <v>612</v>
      </c>
      <c r="B703" s="58"/>
      <c r="C703" s="58"/>
      <c r="D703" s="58"/>
      <c r="E703" s="58"/>
      <c r="F703" s="58"/>
      <c r="G703" s="58"/>
      <c r="H703" s="58"/>
      <c r="I703" s="58"/>
      <c r="J703" s="58"/>
      <c r="K703" s="58"/>
      <c r="L703" s="58"/>
      <c r="M703" s="58"/>
      <c r="N703" s="58"/>
      <c r="O703" s="58"/>
      <c r="P703" s="58"/>
      <c r="Q703" s="58">
        <v>0</v>
      </c>
      <c r="R703" s="58">
        <v>0</v>
      </c>
      <c r="S703" s="58">
        <v>0</v>
      </c>
      <c r="T703" s="58">
        <v>0</v>
      </c>
      <c r="U703"/>
    </row>
    <row r="704" spans="1:21">
      <c r="A704" s="104" t="s">
        <v>500</v>
      </c>
      <c r="B704" s="58"/>
      <c r="C704" s="58"/>
      <c r="D704" s="58"/>
      <c r="E704" s="58"/>
      <c r="F704" s="58"/>
      <c r="G704" s="58"/>
      <c r="H704" s="58"/>
      <c r="I704" s="58"/>
      <c r="J704" s="58"/>
      <c r="K704" s="58"/>
      <c r="L704" s="58"/>
      <c r="M704" s="58"/>
      <c r="N704" s="58"/>
      <c r="O704" s="58"/>
      <c r="P704" s="58"/>
      <c r="Q704" s="58"/>
      <c r="R704" s="58"/>
      <c r="S704" s="58"/>
      <c r="T704" s="58"/>
      <c r="U704"/>
    </row>
    <row r="705" spans="1:21">
      <c r="A705" s="105" t="s">
        <v>622</v>
      </c>
      <c r="B705" s="58"/>
      <c r="C705" s="58"/>
      <c r="D705" s="58"/>
      <c r="E705" s="58"/>
      <c r="F705" s="58"/>
      <c r="G705" s="58"/>
      <c r="H705" s="58"/>
      <c r="I705" s="58"/>
      <c r="J705" s="58"/>
      <c r="K705" s="58"/>
      <c r="L705" s="58"/>
      <c r="M705" s="58"/>
      <c r="N705" s="58"/>
      <c r="O705" s="58"/>
      <c r="P705" s="58"/>
      <c r="Q705" s="58"/>
      <c r="R705" s="58">
        <v>9247758</v>
      </c>
      <c r="S705" s="58">
        <v>8889878</v>
      </c>
      <c r="T705" s="58">
        <v>9247758</v>
      </c>
      <c r="U705"/>
    </row>
    <row r="706" spans="1:21">
      <c r="A706" s="105" t="s">
        <v>614</v>
      </c>
      <c r="B706" s="58"/>
      <c r="C706" s="58"/>
      <c r="D706" s="58"/>
      <c r="E706" s="58"/>
      <c r="F706" s="58"/>
      <c r="G706" s="58"/>
      <c r="H706" s="58"/>
      <c r="I706" s="58"/>
      <c r="J706" s="58"/>
      <c r="K706" s="58"/>
      <c r="L706" s="58"/>
      <c r="M706" s="58"/>
      <c r="N706" s="58"/>
      <c r="O706" s="58"/>
      <c r="P706" s="58"/>
      <c r="Q706" s="58"/>
      <c r="R706" s="58">
        <v>0</v>
      </c>
      <c r="S706" s="58">
        <v>345044.13</v>
      </c>
      <c r="T706" s="58">
        <v>345044.13</v>
      </c>
      <c r="U706"/>
    </row>
    <row r="707" spans="1:21">
      <c r="A707" s="105" t="s">
        <v>616</v>
      </c>
      <c r="B707" s="58"/>
      <c r="C707" s="58"/>
      <c r="D707" s="58"/>
      <c r="E707" s="58"/>
      <c r="F707" s="58"/>
      <c r="G707" s="58"/>
      <c r="H707" s="58"/>
      <c r="I707" s="58"/>
      <c r="J707" s="58"/>
      <c r="K707" s="58"/>
      <c r="L707" s="58"/>
      <c r="M707" s="58"/>
      <c r="N707" s="58"/>
      <c r="O707" s="58"/>
      <c r="P707" s="58"/>
      <c r="Q707" s="58"/>
      <c r="R707" s="58">
        <v>0</v>
      </c>
      <c r="S707" s="58">
        <v>357880.3</v>
      </c>
      <c r="T707" s="58">
        <v>357880.3</v>
      </c>
      <c r="U707"/>
    </row>
    <row r="708" spans="1:21">
      <c r="A708" s="105" t="s">
        <v>612</v>
      </c>
      <c r="B708" s="58"/>
      <c r="C708" s="58"/>
      <c r="D708" s="58"/>
      <c r="E708" s="58"/>
      <c r="F708" s="58"/>
      <c r="G708" s="58"/>
      <c r="H708" s="58"/>
      <c r="I708" s="58"/>
      <c r="J708" s="58"/>
      <c r="K708" s="58"/>
      <c r="L708" s="58"/>
      <c r="M708" s="58"/>
      <c r="N708" s="58"/>
      <c r="O708" s="58"/>
      <c r="P708" s="58"/>
      <c r="Q708" s="58">
        <v>0</v>
      </c>
      <c r="R708" s="58">
        <v>0</v>
      </c>
      <c r="S708" s="58">
        <v>0</v>
      </c>
      <c r="T708" s="58">
        <v>0</v>
      </c>
      <c r="U708"/>
    </row>
    <row r="709" spans="1:21">
      <c r="A709" s="104" t="s">
        <v>519</v>
      </c>
      <c r="B709" s="58"/>
      <c r="C709" s="58"/>
      <c r="D709" s="58"/>
      <c r="E709" s="58"/>
      <c r="F709" s="58"/>
      <c r="G709" s="58"/>
      <c r="H709" s="58"/>
      <c r="I709" s="58"/>
      <c r="J709" s="58"/>
      <c r="K709" s="58"/>
      <c r="L709" s="58"/>
      <c r="M709" s="58"/>
      <c r="N709" s="58"/>
      <c r="O709" s="58"/>
      <c r="P709" s="58"/>
      <c r="Q709" s="58"/>
      <c r="R709" s="58"/>
      <c r="S709" s="58"/>
      <c r="T709" s="58"/>
      <c r="U709"/>
    </row>
    <row r="710" spans="1:21">
      <c r="A710" s="105" t="s">
        <v>622</v>
      </c>
      <c r="B710" s="58"/>
      <c r="C710" s="58"/>
      <c r="D710" s="58"/>
      <c r="E710" s="58"/>
      <c r="F710" s="58"/>
      <c r="G710" s="58"/>
      <c r="H710" s="58"/>
      <c r="I710" s="58"/>
      <c r="J710" s="58"/>
      <c r="K710" s="58"/>
      <c r="L710" s="58"/>
      <c r="M710" s="58"/>
      <c r="N710" s="58"/>
      <c r="O710" s="58"/>
      <c r="P710" s="58"/>
      <c r="Q710" s="58"/>
      <c r="R710" s="58">
        <v>3000000</v>
      </c>
      <c r="S710" s="58">
        <v>2883903</v>
      </c>
      <c r="T710" s="58">
        <v>3000000</v>
      </c>
      <c r="U710"/>
    </row>
    <row r="711" spans="1:21">
      <c r="A711" s="105" t="s">
        <v>614</v>
      </c>
      <c r="B711" s="58"/>
      <c r="C711" s="58"/>
      <c r="D711" s="58"/>
      <c r="E711" s="58"/>
      <c r="F711" s="58"/>
      <c r="G711" s="58"/>
      <c r="H711" s="58"/>
      <c r="I711" s="58"/>
      <c r="J711" s="58"/>
      <c r="K711" s="58"/>
      <c r="L711" s="58"/>
      <c r="M711" s="58"/>
      <c r="N711" s="58"/>
      <c r="O711" s="58"/>
      <c r="P711" s="58"/>
      <c r="Q711" s="58"/>
      <c r="R711" s="58">
        <v>0</v>
      </c>
      <c r="S711" s="58">
        <v>83645.83</v>
      </c>
      <c r="T711" s="58">
        <v>83645.83</v>
      </c>
      <c r="U711"/>
    </row>
    <row r="712" spans="1:21">
      <c r="A712" s="105" t="s">
        <v>616</v>
      </c>
      <c r="B712" s="58"/>
      <c r="C712" s="58"/>
      <c r="D712" s="58"/>
      <c r="E712" s="58"/>
      <c r="F712" s="58"/>
      <c r="G712" s="58"/>
      <c r="H712" s="58"/>
      <c r="I712" s="58"/>
      <c r="J712" s="58"/>
      <c r="K712" s="58"/>
      <c r="L712" s="58"/>
      <c r="M712" s="58"/>
      <c r="N712" s="58"/>
      <c r="O712" s="58"/>
      <c r="P712" s="58"/>
      <c r="Q712" s="58"/>
      <c r="R712" s="58">
        <v>0</v>
      </c>
      <c r="S712" s="58">
        <v>116097.43</v>
      </c>
      <c r="T712" s="58">
        <v>116097.43</v>
      </c>
      <c r="U712"/>
    </row>
    <row r="713" spans="1:21">
      <c r="A713" s="105" t="s">
        <v>612</v>
      </c>
      <c r="B713" s="58"/>
      <c r="C713" s="58"/>
      <c r="D713" s="58"/>
      <c r="E713" s="58"/>
      <c r="F713" s="58"/>
      <c r="G713" s="58"/>
      <c r="H713" s="58"/>
      <c r="I713" s="58"/>
      <c r="J713" s="58"/>
      <c r="K713" s="58"/>
      <c r="L713" s="58"/>
      <c r="M713" s="58"/>
      <c r="N713" s="58"/>
      <c r="O713" s="58"/>
      <c r="P713" s="58"/>
      <c r="Q713" s="58">
        <v>0</v>
      </c>
      <c r="R713" s="58">
        <v>0</v>
      </c>
      <c r="S713" s="58">
        <v>0</v>
      </c>
      <c r="T713" s="58">
        <v>0</v>
      </c>
      <c r="U713"/>
    </row>
    <row r="714" spans="1:21">
      <c r="A714" s="104" t="s">
        <v>499</v>
      </c>
      <c r="B714" s="58"/>
      <c r="C714" s="58"/>
      <c r="D714" s="58"/>
      <c r="E714" s="58"/>
      <c r="F714" s="58"/>
      <c r="G714" s="58"/>
      <c r="H714" s="58"/>
      <c r="I714" s="58"/>
      <c r="J714" s="58"/>
      <c r="K714" s="58"/>
      <c r="L714" s="58"/>
      <c r="M714" s="58"/>
      <c r="N714" s="58"/>
      <c r="O714" s="58"/>
      <c r="P714" s="58"/>
      <c r="Q714" s="58"/>
      <c r="R714" s="58"/>
      <c r="S714" s="58"/>
      <c r="T714" s="58"/>
      <c r="U714"/>
    </row>
    <row r="715" spans="1:21">
      <c r="A715" s="105" t="s">
        <v>622</v>
      </c>
      <c r="B715" s="58"/>
      <c r="C715" s="58"/>
      <c r="D715" s="58"/>
      <c r="E715" s="58"/>
      <c r="F715" s="58"/>
      <c r="G715" s="58"/>
      <c r="H715" s="58"/>
      <c r="I715" s="58"/>
      <c r="J715" s="58"/>
      <c r="K715" s="58"/>
      <c r="L715" s="58"/>
      <c r="M715" s="58"/>
      <c r="N715" s="58"/>
      <c r="O715" s="58"/>
      <c r="P715" s="58"/>
      <c r="Q715" s="58"/>
      <c r="R715" s="58"/>
      <c r="S715" s="58">
        <v>6667443</v>
      </c>
      <c r="T715" s="58">
        <v>6667443</v>
      </c>
      <c r="U715"/>
    </row>
    <row r="716" spans="1:21">
      <c r="A716" s="105" t="s">
        <v>614</v>
      </c>
      <c r="B716" s="58"/>
      <c r="C716" s="58"/>
      <c r="D716" s="58"/>
      <c r="E716" s="58"/>
      <c r="F716" s="58"/>
      <c r="G716" s="58"/>
      <c r="H716" s="58"/>
      <c r="I716" s="58"/>
      <c r="J716" s="58"/>
      <c r="K716" s="58"/>
      <c r="L716" s="58"/>
      <c r="M716" s="58"/>
      <c r="N716" s="58"/>
      <c r="O716" s="58"/>
      <c r="P716" s="58"/>
      <c r="Q716" s="58"/>
      <c r="R716" s="58"/>
      <c r="S716" s="58">
        <v>0</v>
      </c>
      <c r="T716" s="58">
        <v>0</v>
      </c>
      <c r="U716"/>
    </row>
    <row r="717" spans="1:21">
      <c r="A717" s="105" t="s">
        <v>616</v>
      </c>
      <c r="B717" s="58"/>
      <c r="C717" s="58"/>
      <c r="D717" s="58"/>
      <c r="E717" s="58"/>
      <c r="F717" s="58"/>
      <c r="G717" s="58"/>
      <c r="H717" s="58"/>
      <c r="I717" s="58"/>
      <c r="J717" s="58"/>
      <c r="K717" s="58"/>
      <c r="L717" s="58"/>
      <c r="M717" s="58"/>
      <c r="N717" s="58"/>
      <c r="O717" s="58"/>
      <c r="P717" s="58"/>
      <c r="Q717" s="58"/>
      <c r="R717" s="58"/>
      <c r="S717" s="58">
        <v>0</v>
      </c>
      <c r="T717" s="58">
        <v>0</v>
      </c>
      <c r="U717"/>
    </row>
    <row r="718" spans="1:21">
      <c r="A718" s="105" t="s">
        <v>612</v>
      </c>
      <c r="B718" s="58"/>
      <c r="C718" s="58"/>
      <c r="D718" s="58"/>
      <c r="E718" s="58"/>
      <c r="F718" s="58"/>
      <c r="G718" s="58"/>
      <c r="H718" s="58"/>
      <c r="I718" s="58"/>
      <c r="J718" s="58"/>
      <c r="K718" s="58"/>
      <c r="L718" s="58"/>
      <c r="M718" s="58"/>
      <c r="N718" s="58"/>
      <c r="O718" s="58"/>
      <c r="P718" s="58"/>
      <c r="Q718" s="58">
        <v>0</v>
      </c>
      <c r="R718" s="58">
        <v>0</v>
      </c>
      <c r="S718" s="58">
        <v>0</v>
      </c>
      <c r="T718" s="58">
        <v>0</v>
      </c>
      <c r="U718"/>
    </row>
    <row r="719" spans="1:21">
      <c r="A719" s="104" t="s">
        <v>521</v>
      </c>
      <c r="B719" s="58"/>
      <c r="C719" s="58"/>
      <c r="D719" s="58"/>
      <c r="E719" s="58"/>
      <c r="F719" s="58"/>
      <c r="G719" s="58"/>
      <c r="H719" s="58"/>
      <c r="I719" s="58"/>
      <c r="J719" s="58"/>
      <c r="K719" s="58"/>
      <c r="L719" s="58"/>
      <c r="M719" s="58"/>
      <c r="N719" s="58"/>
      <c r="O719" s="58"/>
      <c r="P719" s="58"/>
      <c r="Q719" s="58"/>
      <c r="R719" s="58"/>
      <c r="S719" s="58"/>
      <c r="T719" s="58"/>
      <c r="U719"/>
    </row>
    <row r="720" spans="1:21">
      <c r="A720" s="105" t="s">
        <v>622</v>
      </c>
      <c r="B720" s="58"/>
      <c r="C720" s="58"/>
      <c r="D720" s="58"/>
      <c r="E720" s="58"/>
      <c r="F720" s="58"/>
      <c r="G720" s="58"/>
      <c r="H720" s="58"/>
      <c r="I720" s="58"/>
      <c r="J720" s="58"/>
      <c r="K720" s="58"/>
      <c r="L720" s="58"/>
      <c r="M720" s="58"/>
      <c r="N720" s="58"/>
      <c r="O720" s="58"/>
      <c r="P720" s="58"/>
      <c r="Q720" s="58"/>
      <c r="R720" s="58"/>
      <c r="S720" s="58">
        <v>3000000</v>
      </c>
      <c r="T720" s="58">
        <v>3000000</v>
      </c>
      <c r="U720"/>
    </row>
    <row r="721" spans="1:21">
      <c r="A721" s="105" t="s">
        <v>614</v>
      </c>
      <c r="B721" s="58"/>
      <c r="C721" s="58"/>
      <c r="D721" s="58"/>
      <c r="E721" s="58"/>
      <c r="F721" s="58"/>
      <c r="G721" s="58"/>
      <c r="H721" s="58"/>
      <c r="I721" s="58"/>
      <c r="J721" s="58"/>
      <c r="K721" s="58"/>
      <c r="L721" s="58"/>
      <c r="M721" s="58"/>
      <c r="N721" s="58"/>
      <c r="O721" s="58"/>
      <c r="P721" s="58"/>
      <c r="Q721" s="58"/>
      <c r="R721" s="58"/>
      <c r="S721" s="58">
        <v>0</v>
      </c>
      <c r="T721" s="58">
        <v>0</v>
      </c>
      <c r="U721"/>
    </row>
    <row r="722" spans="1:21">
      <c r="A722" s="105" t="s">
        <v>616</v>
      </c>
      <c r="B722" s="58"/>
      <c r="C722" s="58"/>
      <c r="D722" s="58"/>
      <c r="E722" s="58"/>
      <c r="F722" s="58"/>
      <c r="G722" s="58"/>
      <c r="H722" s="58"/>
      <c r="I722" s="58"/>
      <c r="J722" s="58"/>
      <c r="K722" s="58"/>
      <c r="L722" s="58"/>
      <c r="M722" s="58"/>
      <c r="N722" s="58"/>
      <c r="O722" s="58"/>
      <c r="P722" s="58"/>
      <c r="Q722" s="58"/>
      <c r="R722" s="58"/>
      <c r="S722" s="58">
        <v>0</v>
      </c>
      <c r="T722" s="58">
        <v>0</v>
      </c>
      <c r="U722"/>
    </row>
    <row r="723" spans="1:21">
      <c r="A723" s="105" t="s">
        <v>612</v>
      </c>
      <c r="B723" s="58"/>
      <c r="C723" s="58"/>
      <c r="D723" s="58"/>
      <c r="E723" s="58"/>
      <c r="F723" s="58"/>
      <c r="G723" s="58"/>
      <c r="H723" s="58"/>
      <c r="I723" s="58"/>
      <c r="J723" s="58"/>
      <c r="K723" s="58"/>
      <c r="L723" s="58"/>
      <c r="M723" s="58"/>
      <c r="N723" s="58"/>
      <c r="O723" s="58"/>
      <c r="P723" s="58"/>
      <c r="Q723" s="58">
        <v>0</v>
      </c>
      <c r="R723" s="58">
        <v>0</v>
      </c>
      <c r="S723" s="58">
        <v>0</v>
      </c>
      <c r="T723" s="58">
        <v>0</v>
      </c>
      <c r="U723"/>
    </row>
    <row r="724" spans="1:21">
      <c r="A724" s="104" t="s">
        <v>370</v>
      </c>
      <c r="B724" s="58"/>
      <c r="C724" s="58"/>
      <c r="D724" s="58"/>
      <c r="E724" s="58"/>
      <c r="F724" s="58"/>
      <c r="G724" s="58"/>
      <c r="H724" s="58"/>
      <c r="I724" s="58"/>
      <c r="J724" s="58"/>
      <c r="K724" s="58"/>
      <c r="L724" s="58"/>
      <c r="M724" s="58"/>
      <c r="N724" s="58"/>
      <c r="O724" s="58"/>
      <c r="P724" s="58"/>
      <c r="Q724" s="58"/>
      <c r="R724" s="58"/>
      <c r="S724" s="58"/>
      <c r="T724" s="58"/>
      <c r="U724"/>
    </row>
    <row r="725" spans="1:21">
      <c r="A725" s="105" t="s">
        <v>622</v>
      </c>
      <c r="B725" s="58"/>
      <c r="C725" s="58"/>
      <c r="D725" s="58"/>
      <c r="E725" s="58"/>
      <c r="F725" s="58"/>
      <c r="G725" s="58"/>
      <c r="H725" s="58"/>
      <c r="I725" s="58"/>
      <c r="J725" s="58"/>
      <c r="K725" s="58"/>
      <c r="L725" s="58"/>
      <c r="M725" s="58"/>
      <c r="N725" s="58"/>
      <c r="O725" s="58"/>
      <c r="P725" s="58"/>
      <c r="Q725" s="58">
        <v>4552083</v>
      </c>
      <c r="R725" s="58">
        <v>4232639</v>
      </c>
      <c r="S725" s="58">
        <v>3913194</v>
      </c>
      <c r="T725" s="58">
        <v>4552083</v>
      </c>
      <c r="U725"/>
    </row>
    <row r="726" spans="1:21">
      <c r="A726" s="105" t="s">
        <v>614</v>
      </c>
      <c r="B726" s="58"/>
      <c r="C726" s="58"/>
      <c r="D726" s="58"/>
      <c r="E726" s="58"/>
      <c r="F726" s="58"/>
      <c r="G726" s="58"/>
      <c r="H726" s="58"/>
      <c r="I726" s="58"/>
      <c r="J726" s="58"/>
      <c r="K726" s="58"/>
      <c r="L726" s="58"/>
      <c r="M726" s="58"/>
      <c r="N726" s="58"/>
      <c r="O726" s="58"/>
      <c r="P726" s="58"/>
      <c r="Q726" s="58">
        <v>52663.18</v>
      </c>
      <c r="R726" s="58">
        <v>66113.64</v>
      </c>
      <c r="S726" s="58">
        <v>61348.7</v>
      </c>
      <c r="T726" s="58">
        <v>180125.52000000002</v>
      </c>
      <c r="U726"/>
    </row>
    <row r="727" spans="1:21">
      <c r="A727" s="105" t="s">
        <v>616</v>
      </c>
      <c r="B727" s="58"/>
      <c r="C727" s="58"/>
      <c r="D727" s="58"/>
      <c r="E727" s="58"/>
      <c r="F727" s="58"/>
      <c r="G727" s="58"/>
      <c r="H727" s="58"/>
      <c r="I727" s="58"/>
      <c r="J727" s="58"/>
      <c r="K727" s="58"/>
      <c r="L727" s="58"/>
      <c r="M727" s="58"/>
      <c r="N727" s="58"/>
      <c r="O727" s="58"/>
      <c r="P727" s="58"/>
      <c r="Q727" s="58">
        <v>239583.33</v>
      </c>
      <c r="R727" s="58">
        <v>319444.44</v>
      </c>
      <c r="S727" s="58">
        <v>319444.44</v>
      </c>
      <c r="T727" s="58">
        <v>878472.21</v>
      </c>
      <c r="U727"/>
    </row>
    <row r="728" spans="1:21">
      <c r="A728" s="105" t="s">
        <v>612</v>
      </c>
      <c r="B728" s="58"/>
      <c r="C728" s="58"/>
      <c r="D728" s="58"/>
      <c r="E728" s="58"/>
      <c r="F728" s="58"/>
      <c r="G728" s="58"/>
      <c r="H728" s="58"/>
      <c r="I728" s="58"/>
      <c r="J728" s="58"/>
      <c r="K728" s="58"/>
      <c r="L728" s="58"/>
      <c r="M728" s="58"/>
      <c r="N728" s="58"/>
      <c r="O728" s="58"/>
      <c r="P728" s="58">
        <v>0</v>
      </c>
      <c r="Q728" s="58">
        <v>0</v>
      </c>
      <c r="R728" s="58">
        <v>0</v>
      </c>
      <c r="S728" s="58">
        <v>0</v>
      </c>
      <c r="T728" s="58">
        <v>0</v>
      </c>
      <c r="U728"/>
    </row>
    <row r="729" spans="1:21">
      <c r="A729" s="104" t="s">
        <v>505</v>
      </c>
      <c r="B729" s="58"/>
      <c r="C729" s="58"/>
      <c r="D729" s="58"/>
      <c r="E729" s="58"/>
      <c r="F729" s="58"/>
      <c r="G729" s="58"/>
      <c r="H729" s="58"/>
      <c r="I729" s="58"/>
      <c r="J729" s="58"/>
      <c r="K729" s="58"/>
      <c r="L729" s="58"/>
      <c r="M729" s="58"/>
      <c r="N729" s="58"/>
      <c r="O729" s="58"/>
      <c r="P729" s="58"/>
      <c r="Q729" s="58"/>
      <c r="R729" s="58"/>
      <c r="S729" s="58"/>
      <c r="T729" s="58"/>
      <c r="U729"/>
    </row>
    <row r="730" spans="1:21">
      <c r="A730" s="105" t="s">
        <v>622</v>
      </c>
      <c r="B730" s="58"/>
      <c r="C730" s="58"/>
      <c r="D730" s="58"/>
      <c r="E730" s="58"/>
      <c r="F730" s="58"/>
      <c r="G730" s="58"/>
      <c r="H730" s="58"/>
      <c r="I730" s="58"/>
      <c r="J730" s="58"/>
      <c r="K730" s="58"/>
      <c r="L730" s="58"/>
      <c r="M730" s="58"/>
      <c r="N730" s="58"/>
      <c r="O730" s="58"/>
      <c r="P730" s="58"/>
      <c r="Q730" s="58"/>
      <c r="R730" s="58"/>
      <c r="S730" s="58">
        <v>4675647</v>
      </c>
      <c r="T730" s="58">
        <v>4675647</v>
      </c>
      <c r="U730"/>
    </row>
    <row r="731" spans="1:21">
      <c r="A731" s="105" t="s">
        <v>614</v>
      </c>
      <c r="B731" s="58"/>
      <c r="C731" s="58"/>
      <c r="D731" s="58"/>
      <c r="E731" s="58"/>
      <c r="F731" s="58"/>
      <c r="G731" s="58"/>
      <c r="H731" s="58"/>
      <c r="I731" s="58"/>
      <c r="J731" s="58"/>
      <c r="K731" s="58"/>
      <c r="L731" s="58"/>
      <c r="M731" s="58"/>
      <c r="N731" s="58"/>
      <c r="O731" s="58"/>
      <c r="P731" s="58"/>
      <c r="Q731" s="58"/>
      <c r="R731" s="58"/>
      <c r="S731" s="58">
        <v>0</v>
      </c>
      <c r="T731" s="58">
        <v>0</v>
      </c>
      <c r="U731"/>
    </row>
    <row r="732" spans="1:21">
      <c r="A732" s="105" t="s">
        <v>616</v>
      </c>
      <c r="B732" s="58"/>
      <c r="C732" s="58"/>
      <c r="D732" s="58"/>
      <c r="E732" s="58"/>
      <c r="F732" s="58"/>
      <c r="G732" s="58"/>
      <c r="H732" s="58"/>
      <c r="I732" s="58"/>
      <c r="J732" s="58"/>
      <c r="K732" s="58"/>
      <c r="L732" s="58"/>
      <c r="M732" s="58"/>
      <c r="N732" s="58"/>
      <c r="O732" s="58"/>
      <c r="P732" s="58"/>
      <c r="Q732" s="58"/>
      <c r="R732" s="58"/>
      <c r="S732" s="58">
        <v>0</v>
      </c>
      <c r="T732" s="58">
        <v>0</v>
      </c>
      <c r="U732"/>
    </row>
    <row r="733" spans="1:21">
      <c r="A733" s="105" t="s">
        <v>612</v>
      </c>
      <c r="B733" s="58"/>
      <c r="C733" s="58"/>
      <c r="D733" s="58"/>
      <c r="E733" s="58"/>
      <c r="F733" s="58"/>
      <c r="G733" s="58"/>
      <c r="H733" s="58"/>
      <c r="I733" s="58"/>
      <c r="J733" s="58"/>
      <c r="K733" s="58"/>
      <c r="L733" s="58"/>
      <c r="M733" s="58"/>
      <c r="N733" s="58"/>
      <c r="O733" s="58"/>
      <c r="P733" s="58"/>
      <c r="Q733" s="58">
        <v>0</v>
      </c>
      <c r="R733" s="58">
        <v>0</v>
      </c>
      <c r="S733" s="58">
        <v>0</v>
      </c>
      <c r="T733" s="58">
        <v>0</v>
      </c>
      <c r="U733"/>
    </row>
    <row r="734" spans="1:21">
      <c r="A734" s="104" t="s">
        <v>16</v>
      </c>
      <c r="B734" s="58"/>
      <c r="C734" s="58"/>
      <c r="D734" s="58"/>
      <c r="E734" s="58"/>
      <c r="F734" s="58"/>
      <c r="G734" s="58"/>
      <c r="H734" s="58"/>
      <c r="I734" s="58"/>
      <c r="J734" s="58"/>
      <c r="K734" s="58"/>
      <c r="L734" s="58"/>
      <c r="M734" s="58"/>
      <c r="N734" s="58"/>
      <c r="O734" s="58"/>
      <c r="P734" s="58"/>
      <c r="Q734" s="58"/>
      <c r="R734" s="58"/>
      <c r="S734" s="58"/>
      <c r="T734" s="58"/>
      <c r="U734"/>
    </row>
    <row r="735" spans="1:21">
      <c r="A735" s="105" t="s">
        <v>622</v>
      </c>
      <c r="B735" s="58"/>
      <c r="C735" s="58">
        <v>11859925.98</v>
      </c>
      <c r="D735" s="58">
        <v>11859925.98</v>
      </c>
      <c r="E735" s="58">
        <v>11859925.98</v>
      </c>
      <c r="F735" s="58">
        <v>11392833</v>
      </c>
      <c r="G735" s="58">
        <v>0</v>
      </c>
      <c r="H735" s="58"/>
      <c r="I735" s="58"/>
      <c r="J735" s="58"/>
      <c r="K735" s="58"/>
      <c r="L735" s="58"/>
      <c r="M735" s="58"/>
      <c r="N735" s="58"/>
      <c r="O735" s="58"/>
      <c r="P735" s="58"/>
      <c r="Q735" s="58"/>
      <c r="R735" s="58"/>
      <c r="S735" s="58"/>
      <c r="T735" s="58">
        <v>11859925.98</v>
      </c>
      <c r="U735"/>
    </row>
    <row r="736" spans="1:21">
      <c r="A736" s="105" t="s">
        <v>614</v>
      </c>
      <c r="B736" s="58"/>
      <c r="C736" s="58"/>
      <c r="D736" s="58">
        <v>626014.88</v>
      </c>
      <c r="E736" s="58">
        <v>493010.53</v>
      </c>
      <c r="F736" s="58">
        <v>300234.03000000003</v>
      </c>
      <c r="G736" s="58">
        <v>130527.06</v>
      </c>
      <c r="H736" s="58"/>
      <c r="I736" s="58"/>
      <c r="J736" s="58"/>
      <c r="K736" s="58"/>
      <c r="L736" s="58"/>
      <c r="M736" s="58"/>
      <c r="N736" s="58"/>
      <c r="O736" s="58"/>
      <c r="P736" s="58"/>
      <c r="Q736" s="58"/>
      <c r="R736" s="58"/>
      <c r="S736" s="58"/>
      <c r="T736" s="58">
        <v>1549786.5000000002</v>
      </c>
      <c r="U736"/>
    </row>
    <row r="737" spans="1:21">
      <c r="A737" s="105" t="s">
        <v>616</v>
      </c>
      <c r="B737" s="58"/>
      <c r="C737" s="58"/>
      <c r="D737" s="58">
        <v>0</v>
      </c>
      <c r="E737" s="58">
        <v>0</v>
      </c>
      <c r="F737" s="58">
        <v>467092.82</v>
      </c>
      <c r="G737" s="58">
        <v>478489.89</v>
      </c>
      <c r="H737" s="58"/>
      <c r="I737" s="58"/>
      <c r="J737" s="58"/>
      <c r="K737" s="58"/>
      <c r="L737" s="58"/>
      <c r="M737" s="58"/>
      <c r="N737" s="58"/>
      <c r="O737" s="58"/>
      <c r="P737" s="58"/>
      <c r="Q737" s="58"/>
      <c r="R737" s="58"/>
      <c r="S737" s="58"/>
      <c r="T737" s="58">
        <v>945582.71</v>
      </c>
      <c r="U737"/>
    </row>
    <row r="738" spans="1:21">
      <c r="A738" s="105" t="s">
        <v>612</v>
      </c>
      <c r="B738" s="58">
        <v>0</v>
      </c>
      <c r="C738" s="58">
        <v>0</v>
      </c>
      <c r="D738" s="58">
        <v>0</v>
      </c>
      <c r="E738" s="58">
        <v>0</v>
      </c>
      <c r="F738" s="58">
        <v>0</v>
      </c>
      <c r="G738" s="58">
        <v>10915000</v>
      </c>
      <c r="H738" s="58">
        <v>0</v>
      </c>
      <c r="I738" s="58"/>
      <c r="J738" s="58"/>
      <c r="K738" s="58"/>
      <c r="L738" s="58"/>
      <c r="M738" s="58"/>
      <c r="N738" s="58"/>
      <c r="O738" s="58"/>
      <c r="P738" s="58"/>
      <c r="Q738" s="58"/>
      <c r="R738" s="58"/>
      <c r="S738" s="58"/>
      <c r="T738" s="58">
        <v>10915000</v>
      </c>
      <c r="U738"/>
    </row>
    <row r="739" spans="1:21">
      <c r="A739" s="104" t="s">
        <v>204</v>
      </c>
      <c r="B739" s="58"/>
      <c r="C739" s="58"/>
      <c r="D739" s="58"/>
      <c r="E739" s="58"/>
      <c r="F739" s="58"/>
      <c r="G739" s="58"/>
      <c r="H739" s="58"/>
      <c r="I739" s="58"/>
      <c r="J739" s="58"/>
      <c r="K739" s="58"/>
      <c r="L739" s="58"/>
      <c r="M739" s="58"/>
      <c r="N739" s="58"/>
      <c r="O739" s="58"/>
      <c r="P739" s="58"/>
      <c r="Q739" s="58"/>
      <c r="R739" s="58"/>
      <c r="S739" s="58"/>
      <c r="T739" s="58"/>
      <c r="U739"/>
    </row>
    <row r="740" spans="1:21">
      <c r="A740" s="105" t="s">
        <v>622</v>
      </c>
      <c r="B740" s="58"/>
      <c r="C740" s="58"/>
      <c r="D740" s="58"/>
      <c r="E740" s="58"/>
      <c r="F740" s="58"/>
      <c r="G740" s="58"/>
      <c r="H740" s="58"/>
      <c r="I740" s="58"/>
      <c r="J740" s="58"/>
      <c r="K740" s="58"/>
      <c r="L740" s="58"/>
      <c r="M740" s="58"/>
      <c r="N740" s="58"/>
      <c r="O740" s="58"/>
      <c r="P740" s="58"/>
      <c r="Q740" s="58"/>
      <c r="R740" s="58"/>
      <c r="S740" s="58"/>
      <c r="T740" s="58"/>
      <c r="U740"/>
    </row>
    <row r="741" spans="1:21">
      <c r="A741" s="105" t="s">
        <v>614</v>
      </c>
      <c r="B741" s="58"/>
      <c r="C741" s="58"/>
      <c r="D741" s="58"/>
      <c r="E741" s="58"/>
      <c r="F741" s="58"/>
      <c r="G741" s="58"/>
      <c r="H741" s="58"/>
      <c r="I741" s="58"/>
      <c r="J741" s="58"/>
      <c r="K741" s="58"/>
      <c r="L741" s="58"/>
      <c r="M741" s="58"/>
      <c r="N741" s="58"/>
      <c r="O741" s="58"/>
      <c r="P741" s="58"/>
      <c r="Q741" s="58"/>
      <c r="R741" s="58"/>
      <c r="S741" s="58"/>
      <c r="T741" s="58"/>
      <c r="U741"/>
    </row>
    <row r="742" spans="1:21">
      <c r="A742" s="105" t="s">
        <v>616</v>
      </c>
      <c r="B742" s="58"/>
      <c r="C742" s="58"/>
      <c r="D742" s="58"/>
      <c r="E742" s="58"/>
      <c r="F742" s="58"/>
      <c r="G742" s="58"/>
      <c r="H742" s="58"/>
      <c r="I742" s="58"/>
      <c r="J742" s="58"/>
      <c r="K742" s="58"/>
      <c r="L742" s="58"/>
      <c r="M742" s="58"/>
      <c r="N742" s="58"/>
      <c r="O742" s="58"/>
      <c r="P742" s="58"/>
      <c r="Q742" s="58"/>
      <c r="R742" s="58"/>
      <c r="S742" s="58"/>
      <c r="T742" s="58"/>
      <c r="U742"/>
    </row>
    <row r="743" spans="1:21">
      <c r="A743" s="105" t="s">
        <v>612</v>
      </c>
      <c r="B743" s="58"/>
      <c r="C743" s="58"/>
      <c r="D743" s="58"/>
      <c r="E743" s="58"/>
      <c r="F743" s="58">
        <v>0</v>
      </c>
      <c r="G743" s="58">
        <v>0</v>
      </c>
      <c r="H743" s="58">
        <v>0</v>
      </c>
      <c r="I743" s="58">
        <v>0</v>
      </c>
      <c r="J743" s="58">
        <v>0</v>
      </c>
      <c r="K743" s="58">
        <v>0</v>
      </c>
      <c r="L743" s="58">
        <v>0</v>
      </c>
      <c r="M743" s="58">
        <v>0</v>
      </c>
      <c r="N743" s="58">
        <v>0</v>
      </c>
      <c r="O743" s="58">
        <v>0</v>
      </c>
      <c r="P743" s="58">
        <v>0</v>
      </c>
      <c r="Q743" s="58">
        <v>0</v>
      </c>
      <c r="R743" s="58">
        <v>0</v>
      </c>
      <c r="S743" s="58">
        <v>0</v>
      </c>
      <c r="T743" s="58">
        <v>0</v>
      </c>
      <c r="U743"/>
    </row>
    <row r="744" spans="1:21">
      <c r="A744" s="104" t="s">
        <v>580</v>
      </c>
      <c r="B744" s="58"/>
      <c r="C744" s="58"/>
      <c r="D744" s="58"/>
      <c r="E744" s="58"/>
      <c r="F744" s="58"/>
      <c r="G744" s="58"/>
      <c r="H744" s="58"/>
      <c r="I744" s="58"/>
      <c r="J744" s="58"/>
      <c r="K744" s="58"/>
      <c r="L744" s="58"/>
      <c r="M744" s="58"/>
      <c r="N744" s="58"/>
      <c r="O744" s="58"/>
      <c r="P744" s="58"/>
      <c r="Q744" s="58"/>
      <c r="R744" s="58"/>
      <c r="S744" s="58"/>
      <c r="T744" s="58"/>
      <c r="U744"/>
    </row>
    <row r="745" spans="1:21">
      <c r="A745" s="105" t="s">
        <v>622</v>
      </c>
      <c r="B745" s="58"/>
      <c r="C745" s="58"/>
      <c r="D745" s="58"/>
      <c r="E745" s="58"/>
      <c r="F745" s="58"/>
      <c r="G745" s="58"/>
      <c r="H745" s="58"/>
      <c r="I745" s="58"/>
      <c r="J745" s="58"/>
      <c r="K745" s="58"/>
      <c r="L745" s="58">
        <v>6725870.4800000004</v>
      </c>
      <c r="M745" s="58">
        <v>6725870.4800000004</v>
      </c>
      <c r="N745" s="58"/>
      <c r="O745" s="58"/>
      <c r="P745" s="58"/>
      <c r="Q745" s="58"/>
      <c r="R745" s="58"/>
      <c r="S745" s="58"/>
      <c r="T745" s="58">
        <v>6725870.4800000004</v>
      </c>
      <c r="U745"/>
    </row>
    <row r="746" spans="1:21">
      <c r="A746" s="105" t="s">
        <v>614</v>
      </c>
      <c r="B746" s="58"/>
      <c r="C746" s="58"/>
      <c r="D746" s="58"/>
      <c r="E746" s="58"/>
      <c r="F746" s="58"/>
      <c r="G746" s="58"/>
      <c r="H746" s="58"/>
      <c r="I746" s="58"/>
      <c r="J746" s="58"/>
      <c r="K746" s="58"/>
      <c r="L746" s="58">
        <v>0</v>
      </c>
      <c r="M746" s="58">
        <v>324803.51</v>
      </c>
      <c r="N746" s="58"/>
      <c r="O746" s="58"/>
      <c r="P746" s="58"/>
      <c r="Q746" s="58"/>
      <c r="R746" s="58"/>
      <c r="S746" s="58"/>
      <c r="T746" s="58">
        <v>324803.51</v>
      </c>
      <c r="U746"/>
    </row>
    <row r="747" spans="1:21">
      <c r="A747" s="105" t="s">
        <v>616</v>
      </c>
      <c r="B747" s="58"/>
      <c r="C747" s="58"/>
      <c r="D747" s="58"/>
      <c r="E747" s="58"/>
      <c r="F747" s="58"/>
      <c r="G747" s="58"/>
      <c r="H747" s="58"/>
      <c r="I747" s="58"/>
      <c r="J747" s="58"/>
      <c r="K747" s="58"/>
      <c r="L747" s="58">
        <v>0</v>
      </c>
      <c r="M747" s="58">
        <v>379714.16</v>
      </c>
      <c r="N747" s="58"/>
      <c r="O747" s="58"/>
      <c r="P747" s="58"/>
      <c r="Q747" s="58"/>
      <c r="R747" s="58"/>
      <c r="S747" s="58"/>
      <c r="T747" s="58">
        <v>379714.16</v>
      </c>
      <c r="U747"/>
    </row>
    <row r="748" spans="1:21">
      <c r="A748" s="105" t="s">
        <v>612</v>
      </c>
      <c r="B748" s="58"/>
      <c r="C748" s="58"/>
      <c r="D748" s="58"/>
      <c r="E748" s="58"/>
      <c r="F748" s="58"/>
      <c r="G748" s="58"/>
      <c r="H748" s="58"/>
      <c r="I748" s="58"/>
      <c r="J748" s="58"/>
      <c r="K748" s="58"/>
      <c r="L748" s="58">
        <v>0</v>
      </c>
      <c r="M748" s="58">
        <v>6725870.4800000004</v>
      </c>
      <c r="N748" s="58"/>
      <c r="O748" s="58"/>
      <c r="P748" s="58"/>
      <c r="Q748" s="58"/>
      <c r="R748" s="58"/>
      <c r="S748" s="58"/>
      <c r="T748" s="58">
        <v>6725870.4800000004</v>
      </c>
      <c r="U748"/>
    </row>
    <row r="749" spans="1:21">
      <c r="A749" s="104" t="s">
        <v>718</v>
      </c>
      <c r="B749" s="58"/>
      <c r="C749" s="58"/>
      <c r="D749" s="58"/>
      <c r="E749" s="58"/>
      <c r="F749" s="58"/>
      <c r="G749" s="58"/>
      <c r="H749" s="58"/>
      <c r="I749" s="58"/>
      <c r="J749" s="58"/>
      <c r="K749" s="58"/>
      <c r="L749" s="58"/>
      <c r="M749" s="58"/>
      <c r="N749" s="58"/>
      <c r="O749" s="58"/>
      <c r="P749" s="58"/>
      <c r="Q749" s="58"/>
      <c r="R749" s="58"/>
      <c r="S749" s="58"/>
      <c r="T749" s="58"/>
      <c r="U749"/>
    </row>
    <row r="750" spans="1:21">
      <c r="A750" s="105" t="s">
        <v>622</v>
      </c>
      <c r="B750" s="58">
        <v>38138161.405611284</v>
      </c>
      <c r="C750" s="58">
        <v>31726169.009999998</v>
      </c>
      <c r="D750" s="58">
        <v>29708450.129999995</v>
      </c>
      <c r="E750" s="58">
        <v>27137652.640000001</v>
      </c>
      <c r="F750" s="58">
        <v>8326731.5100000016</v>
      </c>
      <c r="G750" s="58">
        <v>1775872.5999999996</v>
      </c>
      <c r="H750" s="58">
        <v>48957.339999999851</v>
      </c>
      <c r="I750" s="58">
        <v>25027.959999999963</v>
      </c>
      <c r="J750" s="58">
        <v>0.27999999979510903</v>
      </c>
      <c r="K750" s="58">
        <v>-0.37999999988824129</v>
      </c>
      <c r="L750" s="58"/>
      <c r="M750" s="58"/>
      <c r="N750" s="58"/>
      <c r="O750" s="58"/>
      <c r="P750" s="58"/>
      <c r="Q750" s="58"/>
      <c r="R750" s="58"/>
      <c r="S750" s="58"/>
      <c r="T750" s="58">
        <v>38138161.405611284</v>
      </c>
      <c r="U750"/>
    </row>
    <row r="751" spans="1:21">
      <c r="A751" s="105" t="s">
        <v>614</v>
      </c>
      <c r="B751" s="58">
        <v>2110113.064280781</v>
      </c>
      <c r="C751" s="58">
        <v>2057192.72</v>
      </c>
      <c r="D751" s="58">
        <v>1717945.0700000003</v>
      </c>
      <c r="E751" s="58">
        <v>1500609.2599999998</v>
      </c>
      <c r="F751" s="58">
        <v>1317562.8400000001</v>
      </c>
      <c r="G751" s="58">
        <v>285301.97000000009</v>
      </c>
      <c r="H751" s="58">
        <v>59136.320000000007</v>
      </c>
      <c r="I751" s="58">
        <v>2080.6800000000221</v>
      </c>
      <c r="J751" s="58">
        <v>1251.4100000000035</v>
      </c>
      <c r="K751" s="58">
        <v>0</v>
      </c>
      <c r="L751" s="58"/>
      <c r="M751" s="58"/>
      <c r="N751" s="58"/>
      <c r="O751" s="58"/>
      <c r="P751" s="58"/>
      <c r="Q751" s="58"/>
      <c r="R751" s="58"/>
      <c r="S751" s="58"/>
      <c r="T751" s="58">
        <v>9051193.3342807814</v>
      </c>
      <c r="U751"/>
    </row>
    <row r="752" spans="1:21">
      <c r="A752" s="105" t="s">
        <v>616</v>
      </c>
      <c r="B752" s="58">
        <v>3301649.3839358278</v>
      </c>
      <c r="C752" s="58">
        <v>3215434.1</v>
      </c>
      <c r="D752" s="58">
        <v>2932413.0900000003</v>
      </c>
      <c r="E752" s="58">
        <v>2601286.37</v>
      </c>
      <c r="F752" s="58">
        <v>13267117.030000001</v>
      </c>
      <c r="G752" s="58">
        <v>6550859.04</v>
      </c>
      <c r="H752" s="58">
        <v>-3378138.82</v>
      </c>
      <c r="I752" s="58">
        <v>23928.949999999953</v>
      </c>
      <c r="J752" s="58">
        <v>25028.130000000005</v>
      </c>
      <c r="K752" s="58">
        <v>0</v>
      </c>
      <c r="L752" s="58"/>
      <c r="M752" s="58"/>
      <c r="N752" s="58"/>
      <c r="O752" s="58"/>
      <c r="P752" s="58"/>
      <c r="Q752" s="58"/>
      <c r="R752" s="58"/>
      <c r="S752" s="58"/>
      <c r="T752" s="58">
        <v>28539577.273935825</v>
      </c>
      <c r="U752"/>
    </row>
    <row r="753" spans="1:21">
      <c r="A753" s="105" t="s">
        <v>612</v>
      </c>
      <c r="B753" s="58"/>
      <c r="C753" s="58"/>
      <c r="D753" s="58"/>
      <c r="E753" s="58"/>
      <c r="F753" s="58"/>
      <c r="G753" s="58"/>
      <c r="H753" s="58"/>
      <c r="I753" s="58"/>
      <c r="J753" s="58"/>
      <c r="K753" s="58"/>
      <c r="L753" s="58"/>
      <c r="M753" s="58"/>
      <c r="N753" s="58"/>
      <c r="O753" s="58"/>
      <c r="P753" s="58"/>
      <c r="Q753" s="58"/>
      <c r="R753" s="58"/>
      <c r="S753" s="58"/>
      <c r="T753" s="58"/>
      <c r="U753"/>
    </row>
    <row r="754" spans="1:21">
      <c r="A754" s="104" t="s">
        <v>719</v>
      </c>
      <c r="B754" s="58"/>
      <c r="C754" s="58"/>
      <c r="D754" s="58"/>
      <c r="E754" s="58"/>
      <c r="F754" s="58"/>
      <c r="G754" s="58"/>
      <c r="H754" s="58"/>
      <c r="I754" s="58"/>
      <c r="J754" s="58"/>
      <c r="K754" s="58"/>
      <c r="L754" s="58"/>
      <c r="M754" s="58"/>
      <c r="N754" s="58"/>
      <c r="O754" s="58"/>
      <c r="P754" s="58"/>
      <c r="Q754" s="58"/>
      <c r="R754" s="58"/>
      <c r="S754" s="58"/>
      <c r="T754" s="58"/>
      <c r="U754"/>
    </row>
    <row r="755" spans="1:21">
      <c r="A755" s="105" t="s">
        <v>622</v>
      </c>
      <c r="B755" s="58">
        <v>82358354.946276397</v>
      </c>
      <c r="C755" s="58">
        <v>32986080.280000001</v>
      </c>
      <c r="D755" s="58">
        <v>4476391.3300000131</v>
      </c>
      <c r="E755" s="58">
        <v>122583.90999999642</v>
      </c>
      <c r="F755" s="58">
        <v>2.7099999934434891</v>
      </c>
      <c r="G755" s="58">
        <v>1550718.6399999857</v>
      </c>
      <c r="H755" s="58">
        <v>-339999.15000000596</v>
      </c>
      <c r="I755" s="58">
        <v>0.59999999403953552</v>
      </c>
      <c r="J755" s="58">
        <v>-1.5900000035762787</v>
      </c>
      <c r="K755" s="58">
        <v>0.90000000596046448</v>
      </c>
      <c r="L755" s="58"/>
      <c r="M755" s="58"/>
      <c r="N755" s="58"/>
      <c r="O755" s="58"/>
      <c r="P755" s="58"/>
      <c r="Q755" s="58"/>
      <c r="R755" s="58"/>
      <c r="S755" s="58"/>
      <c r="T755" s="58">
        <v>82358354.946276397</v>
      </c>
      <c r="U755"/>
    </row>
    <row r="756" spans="1:21">
      <c r="A756" s="105" t="s">
        <v>614</v>
      </c>
      <c r="B756" s="58">
        <v>4100886.3166818377</v>
      </c>
      <c r="C756" s="58">
        <v>4147119.6899999995</v>
      </c>
      <c r="D756" s="58">
        <v>1396401.19</v>
      </c>
      <c r="E756" s="58">
        <v>206680.1799999997</v>
      </c>
      <c r="F756" s="58">
        <v>7560.0600000005215</v>
      </c>
      <c r="G756" s="58">
        <v>278505.21999999974</v>
      </c>
      <c r="H756" s="58">
        <v>3.9999998174607754E-2</v>
      </c>
      <c r="I756" s="58">
        <v>0</v>
      </c>
      <c r="J756" s="58">
        <v>-3431.8299999991432</v>
      </c>
      <c r="K756" s="58">
        <v>-50466.7717304416</v>
      </c>
      <c r="L756" s="58"/>
      <c r="M756" s="58"/>
      <c r="N756" s="58"/>
      <c r="O756" s="58"/>
      <c r="P756" s="58"/>
      <c r="Q756" s="58"/>
      <c r="R756" s="58"/>
      <c r="S756" s="58"/>
      <c r="T756" s="58">
        <v>10083254.094951395</v>
      </c>
      <c r="U756"/>
    </row>
    <row r="757" spans="1:21">
      <c r="A757" s="105" t="s">
        <v>616</v>
      </c>
      <c r="B757" s="58">
        <v>5656870.9444284346</v>
      </c>
      <c r="C757" s="58">
        <v>3921760.2</v>
      </c>
      <c r="D757" s="58">
        <v>5679145.3899999997</v>
      </c>
      <c r="E757" s="58">
        <v>290658.21999999974</v>
      </c>
      <c r="F757" s="58">
        <v>122586.70999999996</v>
      </c>
      <c r="G757" s="58">
        <v>38112.249999999069</v>
      </c>
      <c r="H757" s="58">
        <v>0</v>
      </c>
      <c r="I757" s="58">
        <v>0</v>
      </c>
      <c r="J757" s="58">
        <v>0</v>
      </c>
      <c r="K757" s="58">
        <v>-8857.75</v>
      </c>
      <c r="L757" s="58"/>
      <c r="M757" s="58"/>
      <c r="N757" s="58"/>
      <c r="O757" s="58"/>
      <c r="P757" s="58"/>
      <c r="Q757" s="58"/>
      <c r="R757" s="58"/>
      <c r="S757" s="58"/>
      <c r="T757" s="58">
        <v>15700275.964428436</v>
      </c>
      <c r="U757"/>
    </row>
    <row r="758" spans="1:21">
      <c r="A758" s="105" t="s">
        <v>612</v>
      </c>
      <c r="B758" s="58"/>
      <c r="C758" s="58"/>
      <c r="D758" s="58"/>
      <c r="E758" s="58"/>
      <c r="F758" s="58"/>
      <c r="G758" s="58"/>
      <c r="H758" s="58"/>
      <c r="I758" s="58"/>
      <c r="J758" s="58"/>
      <c r="K758" s="58"/>
      <c r="L758" s="58"/>
      <c r="M758" s="58"/>
      <c r="N758" s="58"/>
      <c r="O758" s="58"/>
      <c r="P758" s="58"/>
      <c r="Q758" s="58"/>
      <c r="R758" s="58"/>
      <c r="S758" s="58"/>
      <c r="T758" s="58"/>
      <c r="U758"/>
    </row>
    <row r="759" spans="1:21">
      <c r="A759" s="104" t="s">
        <v>720</v>
      </c>
      <c r="B759" s="58"/>
      <c r="C759" s="58"/>
      <c r="D759" s="58"/>
      <c r="E759" s="58"/>
      <c r="F759" s="58"/>
      <c r="G759" s="58"/>
      <c r="H759" s="58"/>
      <c r="I759" s="58"/>
      <c r="J759" s="58"/>
      <c r="K759" s="58"/>
      <c r="L759" s="58"/>
      <c r="M759" s="58"/>
      <c r="N759" s="58"/>
      <c r="O759" s="58"/>
      <c r="P759" s="58"/>
      <c r="Q759" s="58"/>
      <c r="R759" s="58"/>
      <c r="S759" s="58"/>
      <c r="T759" s="58"/>
      <c r="U759"/>
    </row>
    <row r="760" spans="1:21">
      <c r="A760" s="105" t="s">
        <v>622</v>
      </c>
      <c r="B760" s="58">
        <v>16796934.625993166</v>
      </c>
      <c r="C760" s="58">
        <v>2612983.5599999987</v>
      </c>
      <c r="D760" s="58">
        <v>1322618.4099999983</v>
      </c>
      <c r="E760" s="58">
        <v>556960.71999999881</v>
      </c>
      <c r="F760" s="58">
        <v>0.97000000067055225</v>
      </c>
      <c r="G760" s="58">
        <v>-0.42999999970197678</v>
      </c>
      <c r="H760" s="58">
        <v>0.7199999988079071</v>
      </c>
      <c r="I760" s="58">
        <v>-0.80000000074505806</v>
      </c>
      <c r="J760" s="58">
        <v>8.9999999850988388E-2</v>
      </c>
      <c r="K760" s="58">
        <v>0.44000000134110451</v>
      </c>
      <c r="L760" s="58"/>
      <c r="M760" s="58"/>
      <c r="N760" s="58"/>
      <c r="O760" s="58"/>
      <c r="P760" s="58"/>
      <c r="Q760" s="58"/>
      <c r="R760" s="58"/>
      <c r="S760" s="58"/>
      <c r="T760" s="58">
        <v>16796934.625993166</v>
      </c>
      <c r="U760"/>
    </row>
    <row r="761" spans="1:21">
      <c r="A761" s="105" t="s">
        <v>614</v>
      </c>
      <c r="B761" s="58">
        <v>1065276.4810011939</v>
      </c>
      <c r="C761" s="58">
        <v>401869.39</v>
      </c>
      <c r="D761" s="58">
        <v>157949.70999999996</v>
      </c>
      <c r="E761" s="58">
        <v>63500.849999999977</v>
      </c>
      <c r="F761" s="58">
        <v>25661.449999999953</v>
      </c>
      <c r="G761" s="58">
        <v>0</v>
      </c>
      <c r="H761" s="58">
        <v>0</v>
      </c>
      <c r="I761" s="58">
        <v>0</v>
      </c>
      <c r="J761" s="58">
        <v>0</v>
      </c>
      <c r="K761" s="58">
        <v>0.20000000006984919</v>
      </c>
      <c r="L761" s="58"/>
      <c r="M761" s="58"/>
      <c r="N761" s="58"/>
      <c r="O761" s="58"/>
      <c r="P761" s="58"/>
      <c r="Q761" s="58"/>
      <c r="R761" s="58"/>
      <c r="S761" s="58"/>
      <c r="T761" s="58">
        <v>1714258.0810011937</v>
      </c>
      <c r="U761"/>
    </row>
    <row r="762" spans="1:21">
      <c r="A762" s="105" t="s">
        <v>616</v>
      </c>
      <c r="B762" s="58">
        <v>2170800.7568723061</v>
      </c>
      <c r="C762" s="58">
        <v>1832117.8</v>
      </c>
      <c r="D762" s="58">
        <v>1924960.6399999997</v>
      </c>
      <c r="E762" s="58">
        <v>765657.50999999989</v>
      </c>
      <c r="F762" s="58">
        <v>556961.32999999984</v>
      </c>
      <c r="G762" s="58">
        <v>0</v>
      </c>
      <c r="H762" s="58">
        <v>0</v>
      </c>
      <c r="I762" s="58">
        <v>0</v>
      </c>
      <c r="J762" s="58">
        <v>0</v>
      </c>
      <c r="K762" s="58">
        <v>-6857.7800000002608</v>
      </c>
      <c r="L762" s="58"/>
      <c r="M762" s="58"/>
      <c r="N762" s="58"/>
      <c r="O762" s="58"/>
      <c r="P762" s="58"/>
      <c r="Q762" s="58"/>
      <c r="R762" s="58"/>
      <c r="S762" s="58"/>
      <c r="T762" s="58">
        <v>7243640.2568723056</v>
      </c>
      <c r="U762"/>
    </row>
    <row r="763" spans="1:21">
      <c r="A763" s="105" t="s">
        <v>612</v>
      </c>
      <c r="B763" s="58"/>
      <c r="C763" s="58"/>
      <c r="D763" s="58"/>
      <c r="E763" s="58"/>
      <c r="F763" s="58"/>
      <c r="G763" s="58"/>
      <c r="H763" s="58"/>
      <c r="I763" s="58"/>
      <c r="J763" s="58"/>
      <c r="K763" s="58"/>
      <c r="L763" s="58"/>
      <c r="M763" s="58"/>
      <c r="N763" s="58"/>
      <c r="O763" s="58"/>
      <c r="P763" s="58"/>
      <c r="Q763" s="58"/>
      <c r="R763" s="58"/>
      <c r="S763" s="58"/>
      <c r="T763" s="58"/>
      <c r="U763"/>
    </row>
    <row r="764" spans="1:21">
      <c r="A764" s="104" t="s">
        <v>721</v>
      </c>
      <c r="B764" s="58"/>
      <c r="C764" s="58"/>
      <c r="D764" s="58"/>
      <c r="E764" s="58"/>
      <c r="F764" s="58"/>
      <c r="G764" s="58"/>
      <c r="H764" s="58"/>
      <c r="I764" s="58"/>
      <c r="J764" s="58"/>
      <c r="K764" s="58"/>
      <c r="L764" s="58"/>
      <c r="M764" s="58"/>
      <c r="N764" s="58"/>
      <c r="O764" s="58"/>
      <c r="P764" s="58"/>
      <c r="Q764" s="58"/>
      <c r="R764" s="58"/>
      <c r="S764" s="58"/>
      <c r="T764" s="58"/>
      <c r="U764"/>
    </row>
    <row r="765" spans="1:21">
      <c r="A765" s="105" t="s">
        <v>622</v>
      </c>
      <c r="B765" s="58">
        <v>3194988.7246762635</v>
      </c>
      <c r="C765" s="58">
        <v>2941555.1799999997</v>
      </c>
      <c r="D765" s="58">
        <v>3111056.14</v>
      </c>
      <c r="E765" s="58">
        <v>-0.64999999990686774</v>
      </c>
      <c r="F765" s="58">
        <v>0.31000000005587935</v>
      </c>
      <c r="G765" s="58">
        <v>2.0000000018626451E-2</v>
      </c>
      <c r="H765" s="58">
        <v>-0.10000000009313226</v>
      </c>
      <c r="I765" s="58">
        <v>0.37000000011175871</v>
      </c>
      <c r="J765" s="58">
        <v>-1.0400000000372529</v>
      </c>
      <c r="K765" s="58">
        <v>0.76000000000931323</v>
      </c>
      <c r="L765" s="58"/>
      <c r="M765" s="58"/>
      <c r="N765" s="58"/>
      <c r="O765" s="58"/>
      <c r="P765" s="58"/>
      <c r="Q765" s="58"/>
      <c r="R765" s="58"/>
      <c r="S765" s="58"/>
      <c r="T765" s="58">
        <v>3194988.7246762635</v>
      </c>
      <c r="U765"/>
    </row>
    <row r="766" spans="1:21">
      <c r="A766" s="105" t="s">
        <v>614</v>
      </c>
      <c r="B766" s="58">
        <v>212222.36249670276</v>
      </c>
      <c r="C766" s="58">
        <v>178818.84000000003</v>
      </c>
      <c r="D766" s="58">
        <v>130226.69999999998</v>
      </c>
      <c r="E766" s="58">
        <v>105795.12999999998</v>
      </c>
      <c r="F766" s="58">
        <v>0</v>
      </c>
      <c r="G766" s="58">
        <v>0</v>
      </c>
      <c r="H766" s="58">
        <v>0</v>
      </c>
      <c r="I766" s="58">
        <v>0</v>
      </c>
      <c r="J766" s="58">
        <v>-5526.0499999999811</v>
      </c>
      <c r="K766" s="58">
        <v>0</v>
      </c>
      <c r="L766" s="58"/>
      <c r="M766" s="58"/>
      <c r="N766" s="58"/>
      <c r="O766" s="58"/>
      <c r="P766" s="58"/>
      <c r="Q766" s="58"/>
      <c r="R766" s="58"/>
      <c r="S766" s="58"/>
      <c r="T766" s="58">
        <v>621536.98249670281</v>
      </c>
      <c r="U766"/>
    </row>
    <row r="767" spans="1:21">
      <c r="A767" s="105" t="s">
        <v>616</v>
      </c>
      <c r="B767" s="58">
        <v>252501.6139188878</v>
      </c>
      <c r="C767" s="58">
        <v>39641.480000000003</v>
      </c>
      <c r="D767" s="58">
        <v>43803.839999999997</v>
      </c>
      <c r="E767" s="58">
        <v>3111056.33</v>
      </c>
      <c r="F767" s="58">
        <v>0</v>
      </c>
      <c r="G767" s="58">
        <v>0</v>
      </c>
      <c r="H767" s="58">
        <v>0</v>
      </c>
      <c r="I767" s="58">
        <v>0</v>
      </c>
      <c r="J767" s="58">
        <v>0</v>
      </c>
      <c r="K767" s="58">
        <v>0</v>
      </c>
      <c r="L767" s="58"/>
      <c r="M767" s="58"/>
      <c r="N767" s="58"/>
      <c r="O767" s="58"/>
      <c r="P767" s="58"/>
      <c r="Q767" s="58"/>
      <c r="R767" s="58"/>
      <c r="S767" s="58"/>
      <c r="T767" s="58">
        <v>3447003.2639188878</v>
      </c>
      <c r="U767"/>
    </row>
    <row r="768" spans="1:21">
      <c r="A768" s="105" t="s">
        <v>612</v>
      </c>
      <c r="B768" s="58"/>
      <c r="C768" s="58"/>
      <c r="D768" s="58"/>
      <c r="E768" s="58"/>
      <c r="F768" s="58"/>
      <c r="G768" s="58"/>
      <c r="H768" s="58"/>
      <c r="I768" s="58"/>
      <c r="J768" s="58"/>
      <c r="K768" s="58"/>
      <c r="L768" s="58"/>
      <c r="M768" s="58"/>
      <c r="N768" s="58"/>
      <c r="O768" s="58"/>
      <c r="P768" s="58"/>
      <c r="Q768" s="58"/>
      <c r="R768" s="58"/>
      <c r="S768" s="58"/>
      <c r="T768" s="58"/>
      <c r="U768"/>
    </row>
    <row r="769" spans="1:21">
      <c r="A769" s="104" t="s">
        <v>722</v>
      </c>
      <c r="B769" s="58"/>
      <c r="C769" s="58"/>
      <c r="D769" s="58"/>
      <c r="E769" s="58"/>
      <c r="F769" s="58"/>
      <c r="G769" s="58"/>
      <c r="H769" s="58"/>
      <c r="I769" s="58"/>
      <c r="J769" s="58"/>
      <c r="K769" s="58"/>
      <c r="L769" s="58"/>
      <c r="M769" s="58"/>
      <c r="N769" s="58"/>
      <c r="O769" s="58"/>
      <c r="P769" s="58"/>
      <c r="Q769" s="58"/>
      <c r="R769" s="58"/>
      <c r="S769" s="58"/>
      <c r="T769" s="58"/>
      <c r="U769"/>
    </row>
    <row r="770" spans="1:21">
      <c r="A770" s="105" t="s">
        <v>622</v>
      </c>
      <c r="B770" s="58">
        <v>2723459.8182225698</v>
      </c>
      <c r="C770" s="58">
        <v>2335990.7599999998</v>
      </c>
      <c r="D770" s="58">
        <v>1924397.67</v>
      </c>
      <c r="E770" s="58">
        <v>1486709.58</v>
      </c>
      <c r="F770" s="58">
        <v>1021272.07</v>
      </c>
      <c r="G770" s="58">
        <v>526325.8200000003</v>
      </c>
      <c r="H770" s="58">
        <v>-4000000.25</v>
      </c>
      <c r="I770" s="58">
        <v>-0.56000000052154064</v>
      </c>
      <c r="J770" s="58">
        <v>0</v>
      </c>
      <c r="K770" s="58">
        <v>0.32000000029802322</v>
      </c>
      <c r="L770" s="58"/>
      <c r="M770" s="58"/>
      <c r="N770" s="58"/>
      <c r="O770" s="58"/>
      <c r="P770" s="58"/>
      <c r="Q770" s="58"/>
      <c r="R770" s="58"/>
      <c r="S770" s="58"/>
      <c r="T770" s="58">
        <v>2723459.8182225698</v>
      </c>
      <c r="U770"/>
    </row>
    <row r="771" spans="1:21">
      <c r="A771" s="105" t="s">
        <v>614</v>
      </c>
      <c r="B771" s="58">
        <v>195747.06071597926</v>
      </c>
      <c r="C771" s="58">
        <v>172641.03</v>
      </c>
      <c r="D771" s="58">
        <v>148101.81</v>
      </c>
      <c r="E771" s="58">
        <v>122006.81</v>
      </c>
      <c r="F771" s="58">
        <v>94257.39</v>
      </c>
      <c r="G771" s="58">
        <v>64748.65</v>
      </c>
      <c r="H771" s="58">
        <v>33369.080000000016</v>
      </c>
      <c r="I771" s="58">
        <v>0</v>
      </c>
      <c r="J771" s="58">
        <v>0</v>
      </c>
      <c r="K771" s="58">
        <v>0</v>
      </c>
      <c r="L771" s="58"/>
      <c r="M771" s="58"/>
      <c r="N771" s="58"/>
      <c r="O771" s="58"/>
      <c r="P771" s="58"/>
      <c r="Q771" s="58"/>
      <c r="R771" s="58"/>
      <c r="S771" s="58"/>
      <c r="T771" s="58">
        <v>830871.83071597922</v>
      </c>
      <c r="U771"/>
    </row>
    <row r="772" spans="1:21">
      <c r="A772" s="105" t="s">
        <v>616</v>
      </c>
      <c r="B772" s="58">
        <v>364033.17643937626</v>
      </c>
      <c r="C772" s="58">
        <v>387053.87</v>
      </c>
      <c r="D772" s="58">
        <v>411593.1</v>
      </c>
      <c r="E772" s="58">
        <v>437688.09</v>
      </c>
      <c r="F772" s="58">
        <v>465437.51</v>
      </c>
      <c r="G772" s="58">
        <v>494946.25</v>
      </c>
      <c r="H772" s="58">
        <v>526325.81999999995</v>
      </c>
      <c r="I772" s="58">
        <v>0</v>
      </c>
      <c r="J772" s="58">
        <v>0</v>
      </c>
      <c r="K772" s="58">
        <v>0</v>
      </c>
      <c r="L772" s="58"/>
      <c r="M772" s="58"/>
      <c r="N772" s="58"/>
      <c r="O772" s="58"/>
      <c r="P772" s="58"/>
      <c r="Q772" s="58"/>
      <c r="R772" s="58"/>
      <c r="S772" s="58"/>
      <c r="T772" s="58">
        <v>3087077.8164393762</v>
      </c>
      <c r="U772"/>
    </row>
    <row r="773" spans="1:21">
      <c r="A773" s="105" t="s">
        <v>612</v>
      </c>
      <c r="B773" s="58"/>
      <c r="C773" s="58"/>
      <c r="D773" s="58"/>
      <c r="E773" s="58"/>
      <c r="F773" s="58"/>
      <c r="G773" s="58"/>
      <c r="H773" s="58"/>
      <c r="I773" s="58"/>
      <c r="J773" s="58"/>
      <c r="K773" s="58"/>
      <c r="L773" s="58"/>
      <c r="M773" s="58"/>
      <c r="N773" s="58"/>
      <c r="O773" s="58"/>
      <c r="P773" s="58"/>
      <c r="Q773" s="58"/>
      <c r="R773" s="58"/>
      <c r="S773" s="58"/>
      <c r="T773" s="58"/>
      <c r="U773"/>
    </row>
    <row r="774" spans="1:21">
      <c r="A774" s="104" t="s">
        <v>723</v>
      </c>
      <c r="B774" s="58"/>
      <c r="C774" s="58"/>
      <c r="D774" s="58"/>
      <c r="E774" s="58"/>
      <c r="F774" s="58"/>
      <c r="G774" s="58"/>
      <c r="H774" s="58"/>
      <c r="I774" s="58"/>
      <c r="J774" s="58"/>
      <c r="K774" s="58"/>
      <c r="L774" s="58"/>
      <c r="M774" s="58"/>
      <c r="N774" s="58"/>
      <c r="O774" s="58"/>
      <c r="P774" s="58"/>
      <c r="Q774" s="58"/>
      <c r="R774" s="58"/>
      <c r="S774" s="58"/>
      <c r="T774" s="58"/>
      <c r="U774"/>
    </row>
    <row r="775" spans="1:21">
      <c r="A775" s="105" t="s">
        <v>622</v>
      </c>
      <c r="B775" s="58">
        <v>3940191.6576326853</v>
      </c>
      <c r="C775" s="58">
        <v>3499004.1</v>
      </c>
      <c r="D775" s="58">
        <v>2106447.29</v>
      </c>
      <c r="E775" s="58">
        <v>1304505.8999999999</v>
      </c>
      <c r="F775" s="58">
        <v>0</v>
      </c>
      <c r="G775" s="58">
        <v>0</v>
      </c>
      <c r="H775" s="58">
        <v>0</v>
      </c>
      <c r="I775" s="58">
        <v>0</v>
      </c>
      <c r="J775" s="58">
        <v>0</v>
      </c>
      <c r="K775" s="58">
        <v>0</v>
      </c>
      <c r="L775" s="58"/>
      <c r="M775" s="58"/>
      <c r="N775" s="58"/>
      <c r="O775" s="58"/>
      <c r="P775" s="58"/>
      <c r="Q775" s="58"/>
      <c r="R775" s="58"/>
      <c r="S775" s="58"/>
      <c r="T775" s="58">
        <v>3940191.6576326853</v>
      </c>
      <c r="U775"/>
    </row>
    <row r="776" spans="1:21">
      <c r="A776" s="105" t="s">
        <v>614</v>
      </c>
      <c r="B776" s="58">
        <v>345331.58600121672</v>
      </c>
      <c r="C776" s="58">
        <v>292301.88</v>
      </c>
      <c r="D776" s="58">
        <v>254591.71</v>
      </c>
      <c r="E776" s="58">
        <v>131083.9</v>
      </c>
      <c r="F776" s="58">
        <v>78270.350000000006</v>
      </c>
      <c r="G776" s="58">
        <v>0</v>
      </c>
      <c r="H776" s="58">
        <v>0</v>
      </c>
      <c r="I776" s="58">
        <v>0</v>
      </c>
      <c r="J776" s="58">
        <v>0</v>
      </c>
      <c r="K776" s="58">
        <v>0</v>
      </c>
      <c r="L776" s="58"/>
      <c r="M776" s="58"/>
      <c r="N776" s="58"/>
      <c r="O776" s="58"/>
      <c r="P776" s="58"/>
      <c r="Q776" s="58"/>
      <c r="R776" s="58"/>
      <c r="S776" s="58"/>
      <c r="T776" s="58">
        <v>1101579.4260012168</v>
      </c>
      <c r="U776"/>
    </row>
    <row r="777" spans="1:21">
      <c r="A777" s="105" t="s">
        <v>616</v>
      </c>
      <c r="B777" s="58">
        <v>406063.75475141685</v>
      </c>
      <c r="C777" s="58">
        <v>440586.88</v>
      </c>
      <c r="D777" s="58">
        <v>1392556.81</v>
      </c>
      <c r="E777" s="58">
        <v>801941.39</v>
      </c>
      <c r="F777" s="58">
        <v>1304505.8999999999</v>
      </c>
      <c r="G777" s="58">
        <v>0</v>
      </c>
      <c r="H777" s="58">
        <v>0</v>
      </c>
      <c r="I777" s="58">
        <v>0</v>
      </c>
      <c r="J777" s="58">
        <v>0</v>
      </c>
      <c r="K777" s="58">
        <v>0</v>
      </c>
      <c r="L777" s="58"/>
      <c r="M777" s="58"/>
      <c r="N777" s="58"/>
      <c r="O777" s="58"/>
      <c r="P777" s="58"/>
      <c r="Q777" s="58"/>
      <c r="R777" s="58"/>
      <c r="S777" s="58"/>
      <c r="T777" s="58">
        <v>4345654.7347514164</v>
      </c>
      <c r="U777"/>
    </row>
    <row r="778" spans="1:21">
      <c r="A778" s="105" t="s">
        <v>612</v>
      </c>
      <c r="B778" s="58"/>
      <c r="C778" s="58"/>
      <c r="D778" s="58"/>
      <c r="E778" s="58"/>
      <c r="F778" s="58"/>
      <c r="G778" s="58"/>
      <c r="H778" s="58"/>
      <c r="I778" s="58"/>
      <c r="J778" s="58"/>
      <c r="K778" s="58"/>
      <c r="L778" s="58"/>
      <c r="M778" s="58"/>
      <c r="N778" s="58"/>
      <c r="O778" s="58"/>
      <c r="P778" s="58"/>
      <c r="Q778" s="58"/>
      <c r="R778" s="58"/>
      <c r="S778" s="58"/>
      <c r="T778" s="58"/>
      <c r="U778"/>
    </row>
    <row r="779" spans="1:21">
      <c r="A779" s="104" t="s">
        <v>724</v>
      </c>
      <c r="B779" s="58"/>
      <c r="C779" s="58"/>
      <c r="D779" s="58"/>
      <c r="E779" s="58"/>
      <c r="F779" s="58"/>
      <c r="G779" s="58"/>
      <c r="H779" s="58"/>
      <c r="I779" s="58"/>
      <c r="J779" s="58"/>
      <c r="K779" s="58"/>
      <c r="L779" s="58"/>
      <c r="M779" s="58"/>
      <c r="N779" s="58"/>
      <c r="O779" s="58"/>
      <c r="P779" s="58"/>
      <c r="Q779" s="58"/>
      <c r="R779" s="58"/>
      <c r="S779" s="58"/>
      <c r="T779" s="58"/>
      <c r="U779"/>
    </row>
    <row r="780" spans="1:21">
      <c r="A780" s="105" t="s">
        <v>622</v>
      </c>
      <c r="B780" s="58">
        <v>3743948.0206813379</v>
      </c>
      <c r="C780" s="58">
        <v>3347605.89</v>
      </c>
      <c r="D780" s="58">
        <v>2227999.54</v>
      </c>
      <c r="E780" s="58">
        <v>1861019.35</v>
      </c>
      <c r="F780" s="58">
        <v>1466431.23</v>
      </c>
      <c r="G780" s="58">
        <v>1041991.74</v>
      </c>
      <c r="H780" s="58">
        <v>585267.07999999996</v>
      </c>
      <c r="I780" s="58">
        <v>93616.59</v>
      </c>
      <c r="J780" s="58">
        <v>0</v>
      </c>
      <c r="K780" s="58">
        <v>0</v>
      </c>
      <c r="L780" s="58"/>
      <c r="M780" s="58"/>
      <c r="N780" s="58"/>
      <c r="O780" s="58"/>
      <c r="P780" s="58"/>
      <c r="Q780" s="58"/>
      <c r="R780" s="58"/>
      <c r="S780" s="58"/>
      <c r="T780" s="58">
        <v>3743948.0206813379</v>
      </c>
      <c r="U780"/>
    </row>
    <row r="781" spans="1:21">
      <c r="A781" s="105" t="s">
        <v>614</v>
      </c>
      <c r="B781" s="58">
        <v>351073.91092875425</v>
      </c>
      <c r="C781" s="58">
        <v>284689.44</v>
      </c>
      <c r="D781" s="58">
        <v>222918.85</v>
      </c>
      <c r="E781" s="58">
        <v>164359.93</v>
      </c>
      <c r="F781" s="58">
        <v>136752.01</v>
      </c>
      <c r="G781" s="58">
        <v>106900.65</v>
      </c>
      <c r="H781" s="58">
        <v>74615.47</v>
      </c>
      <c r="I781" s="58">
        <v>39689.620000000003</v>
      </c>
      <c r="J781" s="58">
        <v>1898.33</v>
      </c>
      <c r="K781" s="58">
        <v>0</v>
      </c>
      <c r="L781" s="58"/>
      <c r="M781" s="58"/>
      <c r="N781" s="58"/>
      <c r="O781" s="58"/>
      <c r="P781" s="58"/>
      <c r="Q781" s="58"/>
      <c r="R781" s="58"/>
      <c r="S781" s="58"/>
      <c r="T781" s="58">
        <v>1382898.2109287544</v>
      </c>
      <c r="U781"/>
    </row>
    <row r="782" spans="1:21">
      <c r="A782" s="105" t="s">
        <v>616</v>
      </c>
      <c r="B782" s="58">
        <v>352096.64606766414</v>
      </c>
      <c r="C782" s="58">
        <v>395771.36</v>
      </c>
      <c r="D782" s="58">
        <v>1119606.3500000001</v>
      </c>
      <c r="E782" s="58">
        <v>366980.19</v>
      </c>
      <c r="F782" s="58">
        <v>394588.12</v>
      </c>
      <c r="G782" s="58">
        <v>424439.49</v>
      </c>
      <c r="H782" s="58">
        <v>456724.66</v>
      </c>
      <c r="I782" s="58">
        <v>491650.49</v>
      </c>
      <c r="J782" s="58">
        <v>93616.58</v>
      </c>
      <c r="K782" s="58">
        <v>0</v>
      </c>
      <c r="L782" s="58"/>
      <c r="M782" s="58"/>
      <c r="N782" s="58"/>
      <c r="O782" s="58"/>
      <c r="P782" s="58"/>
      <c r="Q782" s="58"/>
      <c r="R782" s="58"/>
      <c r="S782" s="58"/>
      <c r="T782" s="58">
        <v>4095473.8860676652</v>
      </c>
      <c r="U782"/>
    </row>
    <row r="783" spans="1:21">
      <c r="A783" s="105" t="s">
        <v>612</v>
      </c>
      <c r="B783" s="58"/>
      <c r="C783" s="58"/>
      <c r="D783" s="58"/>
      <c r="E783" s="58"/>
      <c r="F783" s="58"/>
      <c r="G783" s="58"/>
      <c r="H783" s="58"/>
      <c r="I783" s="58"/>
      <c r="J783" s="58"/>
      <c r="K783" s="58"/>
      <c r="L783" s="58"/>
      <c r="M783" s="58"/>
      <c r="N783" s="58"/>
      <c r="O783" s="58"/>
      <c r="P783" s="58"/>
      <c r="Q783" s="58"/>
      <c r="R783" s="58"/>
      <c r="S783" s="58"/>
      <c r="T783" s="58"/>
      <c r="U783"/>
    </row>
    <row r="784" spans="1:21">
      <c r="A784" s="104" t="s">
        <v>725</v>
      </c>
      <c r="B784" s="58"/>
      <c r="C784" s="58"/>
      <c r="D784" s="58"/>
      <c r="E784" s="58"/>
      <c r="F784" s="58"/>
      <c r="G784" s="58"/>
      <c r="H784" s="58"/>
      <c r="I784" s="58"/>
      <c r="J784" s="58"/>
      <c r="K784" s="58"/>
      <c r="L784" s="58"/>
      <c r="M784" s="58"/>
      <c r="N784" s="58"/>
      <c r="O784" s="58"/>
      <c r="P784" s="58"/>
      <c r="Q784" s="58"/>
      <c r="R784" s="58"/>
      <c r="S784" s="58"/>
      <c r="T784" s="58"/>
      <c r="U784"/>
    </row>
    <row r="785" spans="1:21">
      <c r="A785" s="105" t="s">
        <v>622</v>
      </c>
      <c r="B785" s="58">
        <v>4612285.9083611211</v>
      </c>
      <c r="C785" s="58">
        <v>0</v>
      </c>
      <c r="D785" s="58">
        <v>0</v>
      </c>
      <c r="E785" s="58">
        <v>0</v>
      </c>
      <c r="F785" s="58">
        <v>0</v>
      </c>
      <c r="G785" s="58">
        <v>0</v>
      </c>
      <c r="H785" s="58">
        <v>0</v>
      </c>
      <c r="I785" s="58">
        <v>0</v>
      </c>
      <c r="J785" s="58">
        <v>0</v>
      </c>
      <c r="K785" s="58">
        <v>0</v>
      </c>
      <c r="L785" s="58"/>
      <c r="M785" s="58"/>
      <c r="N785" s="58"/>
      <c r="O785" s="58"/>
      <c r="P785" s="58"/>
      <c r="Q785" s="58"/>
      <c r="R785" s="58"/>
      <c r="S785" s="58"/>
      <c r="T785" s="58">
        <v>4612285.9083611211</v>
      </c>
      <c r="U785"/>
    </row>
    <row r="786" spans="1:21">
      <c r="A786" s="105" t="s">
        <v>614</v>
      </c>
      <c r="B786" s="58">
        <v>474372.24882863188</v>
      </c>
      <c r="C786" s="58">
        <v>108877.19</v>
      </c>
      <c r="D786" s="58">
        <v>0</v>
      </c>
      <c r="E786" s="58">
        <v>0</v>
      </c>
      <c r="F786" s="58">
        <v>0</v>
      </c>
      <c r="G786" s="58">
        <v>0</v>
      </c>
      <c r="H786" s="58">
        <v>0</v>
      </c>
      <c r="I786" s="58">
        <v>0</v>
      </c>
      <c r="J786" s="58">
        <v>0</v>
      </c>
      <c r="K786" s="58">
        <v>0</v>
      </c>
      <c r="L786" s="58"/>
      <c r="M786" s="58"/>
      <c r="N786" s="58"/>
      <c r="O786" s="58"/>
      <c r="P786" s="58"/>
      <c r="Q786" s="58"/>
      <c r="R786" s="58"/>
      <c r="S786" s="58"/>
      <c r="T786" s="58">
        <v>583249.43882863189</v>
      </c>
      <c r="U786"/>
    </row>
    <row r="787" spans="1:21">
      <c r="A787" s="105" t="s">
        <v>616</v>
      </c>
      <c r="B787" s="58">
        <v>2765452.9203774603</v>
      </c>
      <c r="C787" s="58">
        <v>4611582.7699999996</v>
      </c>
      <c r="D787" s="58">
        <v>0</v>
      </c>
      <c r="E787" s="58">
        <v>0</v>
      </c>
      <c r="F787" s="58">
        <v>0</v>
      </c>
      <c r="G787" s="58">
        <v>0</v>
      </c>
      <c r="H787" s="58">
        <v>0</v>
      </c>
      <c r="I787" s="58">
        <v>0</v>
      </c>
      <c r="J787" s="58">
        <v>0</v>
      </c>
      <c r="K787" s="58">
        <v>0</v>
      </c>
      <c r="L787" s="58"/>
      <c r="M787" s="58"/>
      <c r="N787" s="58"/>
      <c r="O787" s="58"/>
      <c r="P787" s="58"/>
      <c r="Q787" s="58"/>
      <c r="R787" s="58"/>
      <c r="S787" s="58"/>
      <c r="T787" s="58">
        <v>7377035.6903774599</v>
      </c>
      <c r="U787"/>
    </row>
    <row r="788" spans="1:21">
      <c r="A788" s="105" t="s">
        <v>612</v>
      </c>
      <c r="B788" s="58"/>
      <c r="C788" s="58"/>
      <c r="D788" s="58"/>
      <c r="E788" s="58"/>
      <c r="F788" s="58"/>
      <c r="G788" s="58"/>
      <c r="H788" s="58"/>
      <c r="I788" s="58"/>
      <c r="J788" s="58"/>
      <c r="K788" s="58"/>
      <c r="L788" s="58"/>
      <c r="M788" s="58"/>
      <c r="N788" s="58"/>
      <c r="O788" s="58"/>
      <c r="P788" s="58"/>
      <c r="Q788" s="58"/>
      <c r="R788" s="58"/>
      <c r="S788" s="58"/>
      <c r="T788" s="58"/>
      <c r="U788"/>
    </row>
    <row r="789" spans="1:21">
      <c r="A789" s="104" t="s">
        <v>726</v>
      </c>
      <c r="B789" s="58"/>
      <c r="C789" s="58"/>
      <c r="D789" s="58"/>
      <c r="E789" s="58"/>
      <c r="F789" s="58"/>
      <c r="G789" s="58"/>
      <c r="H789" s="58"/>
      <c r="I789" s="58"/>
      <c r="J789" s="58"/>
      <c r="K789" s="58"/>
      <c r="L789" s="58"/>
      <c r="M789" s="58"/>
      <c r="N789" s="58"/>
      <c r="O789" s="58"/>
      <c r="P789" s="58"/>
      <c r="Q789" s="58"/>
      <c r="R789" s="58"/>
      <c r="S789" s="58"/>
      <c r="T789" s="58"/>
      <c r="U789"/>
    </row>
    <row r="790" spans="1:21">
      <c r="A790" s="105" t="s">
        <v>622</v>
      </c>
      <c r="B790" s="58">
        <v>6318770.5399195254</v>
      </c>
      <c r="C790" s="58">
        <v>0</v>
      </c>
      <c r="D790" s="58"/>
      <c r="E790" s="58"/>
      <c r="F790" s="58"/>
      <c r="G790" s="58"/>
      <c r="H790" s="58"/>
      <c r="I790" s="58"/>
      <c r="J790" s="58"/>
      <c r="K790" s="58"/>
      <c r="L790" s="58"/>
      <c r="M790" s="58"/>
      <c r="N790" s="58"/>
      <c r="O790" s="58"/>
      <c r="P790" s="58"/>
      <c r="Q790" s="58"/>
      <c r="R790" s="58"/>
      <c r="S790" s="58"/>
      <c r="T790" s="58">
        <v>6318770.5399195254</v>
      </c>
      <c r="U790"/>
    </row>
    <row r="791" spans="1:21">
      <c r="A791" s="105" t="s">
        <v>614</v>
      </c>
      <c r="B791" s="58">
        <v>495237.83843124338</v>
      </c>
      <c r="C791" s="58">
        <v>390183.54</v>
      </c>
      <c r="D791" s="58"/>
      <c r="E791" s="58"/>
      <c r="F791" s="58"/>
      <c r="G791" s="58"/>
      <c r="H791" s="58"/>
      <c r="I791" s="58"/>
      <c r="J791" s="58"/>
      <c r="K791" s="58"/>
      <c r="L791" s="58"/>
      <c r="M791" s="58"/>
      <c r="N791" s="58"/>
      <c r="O791" s="58"/>
      <c r="P791" s="58"/>
      <c r="Q791" s="58"/>
      <c r="R791" s="58"/>
      <c r="S791" s="58"/>
      <c r="T791" s="58">
        <v>885421.37843124336</v>
      </c>
      <c r="U791"/>
    </row>
    <row r="792" spans="1:21">
      <c r="A792" s="105" t="s">
        <v>616</v>
      </c>
      <c r="B792" s="58">
        <v>663756.46977923531</v>
      </c>
      <c r="C792" s="58">
        <v>6317807.25</v>
      </c>
      <c r="D792" s="58"/>
      <c r="E792" s="58"/>
      <c r="F792" s="58"/>
      <c r="G792" s="58"/>
      <c r="H792" s="58"/>
      <c r="I792" s="58"/>
      <c r="J792" s="58"/>
      <c r="K792" s="58"/>
      <c r="L792" s="58"/>
      <c r="M792" s="58"/>
      <c r="N792" s="58"/>
      <c r="O792" s="58"/>
      <c r="P792" s="58"/>
      <c r="Q792" s="58"/>
      <c r="R792" s="58"/>
      <c r="S792" s="58"/>
      <c r="T792" s="58">
        <v>6981563.7197792353</v>
      </c>
      <c r="U792"/>
    </row>
    <row r="793" spans="1:21">
      <c r="A793" s="105" t="s">
        <v>612</v>
      </c>
      <c r="B793" s="58"/>
      <c r="C793" s="58"/>
      <c r="D793" s="58"/>
      <c r="E793" s="58"/>
      <c r="F793" s="58"/>
      <c r="G793" s="58"/>
      <c r="H793" s="58"/>
      <c r="I793" s="58"/>
      <c r="J793" s="58"/>
      <c r="K793" s="58"/>
      <c r="L793" s="58"/>
      <c r="M793" s="58"/>
      <c r="N793" s="58"/>
      <c r="O793" s="58"/>
      <c r="P793" s="58"/>
      <c r="Q793" s="58"/>
      <c r="R793" s="58"/>
      <c r="S793" s="58"/>
      <c r="T793" s="58"/>
      <c r="U793"/>
    </row>
    <row r="794" spans="1:21">
      <c r="A794" s="104" t="s">
        <v>727</v>
      </c>
      <c r="B794" s="58"/>
      <c r="C794" s="58"/>
      <c r="D794" s="58"/>
      <c r="E794" s="58"/>
      <c r="F794" s="58"/>
      <c r="G794" s="58"/>
      <c r="H794" s="58"/>
      <c r="I794" s="58"/>
      <c r="J794" s="58"/>
      <c r="K794" s="58"/>
      <c r="L794" s="58"/>
      <c r="M794" s="58"/>
      <c r="N794" s="58"/>
      <c r="O794" s="58"/>
      <c r="P794" s="58"/>
      <c r="Q794" s="58"/>
      <c r="R794" s="58"/>
      <c r="S794" s="58"/>
      <c r="T794" s="58"/>
      <c r="U794"/>
    </row>
    <row r="795" spans="1:21">
      <c r="A795" s="105" t="s">
        <v>622</v>
      </c>
      <c r="B795" s="58">
        <v>2808769.1341252746</v>
      </c>
      <c r="C795" s="58">
        <v>2588100.44</v>
      </c>
      <c r="D795" s="58">
        <v>2349139.5</v>
      </c>
      <c r="E795" s="58">
        <v>2089866.86</v>
      </c>
      <c r="F795" s="58">
        <v>0</v>
      </c>
      <c r="G795" s="58">
        <v>0</v>
      </c>
      <c r="H795" s="58">
        <v>0</v>
      </c>
      <c r="I795" s="58">
        <v>0</v>
      </c>
      <c r="J795" s="58">
        <v>0</v>
      </c>
      <c r="K795" s="58">
        <v>0</v>
      </c>
      <c r="L795" s="58"/>
      <c r="M795" s="58"/>
      <c r="N795" s="58"/>
      <c r="O795" s="58"/>
      <c r="P795" s="58"/>
      <c r="Q795" s="58"/>
      <c r="R795" s="58"/>
      <c r="S795" s="58"/>
      <c r="T795" s="58">
        <v>2808769.1341252746</v>
      </c>
      <c r="U795"/>
    </row>
    <row r="796" spans="1:21">
      <c r="A796" s="105" t="s">
        <v>614</v>
      </c>
      <c r="B796" s="58">
        <v>256001.99738662544</v>
      </c>
      <c r="C796" s="58">
        <v>238709.1</v>
      </c>
      <c r="D796" s="58">
        <v>219988.66</v>
      </c>
      <c r="E796" s="58">
        <v>199676.96</v>
      </c>
      <c r="F796" s="58">
        <v>177638.78</v>
      </c>
      <c r="G796" s="58">
        <v>0</v>
      </c>
      <c r="H796" s="58">
        <v>0</v>
      </c>
      <c r="I796" s="58">
        <v>0</v>
      </c>
      <c r="J796" s="58">
        <v>0</v>
      </c>
      <c r="K796" s="58">
        <v>0</v>
      </c>
      <c r="L796" s="58"/>
      <c r="M796" s="58"/>
      <c r="N796" s="58"/>
      <c r="O796" s="58"/>
      <c r="P796" s="58"/>
      <c r="Q796" s="58"/>
      <c r="R796" s="58"/>
      <c r="S796" s="58"/>
      <c r="T796" s="58">
        <v>1092015.4973866255</v>
      </c>
      <c r="U796"/>
    </row>
    <row r="797" spans="1:21">
      <c r="A797" s="105" t="s">
        <v>616</v>
      </c>
      <c r="B797" s="58">
        <v>203017.5800517491</v>
      </c>
      <c r="C797" s="58">
        <v>220240.5</v>
      </c>
      <c r="D797" s="58">
        <v>238960.94</v>
      </c>
      <c r="E797" s="58">
        <v>259272.64</v>
      </c>
      <c r="F797" s="58">
        <v>2089866.86</v>
      </c>
      <c r="G797" s="58">
        <v>0</v>
      </c>
      <c r="H797" s="58">
        <v>0</v>
      </c>
      <c r="I797" s="58">
        <v>0</v>
      </c>
      <c r="J797" s="58">
        <v>0</v>
      </c>
      <c r="K797" s="58">
        <v>0</v>
      </c>
      <c r="L797" s="58"/>
      <c r="M797" s="58"/>
      <c r="N797" s="58"/>
      <c r="O797" s="58"/>
      <c r="P797" s="58"/>
      <c r="Q797" s="58"/>
      <c r="R797" s="58"/>
      <c r="S797" s="58"/>
      <c r="T797" s="58">
        <v>3011358.5200517494</v>
      </c>
      <c r="U797"/>
    </row>
    <row r="798" spans="1:21">
      <c r="A798" s="105" t="s">
        <v>612</v>
      </c>
      <c r="B798" s="58"/>
      <c r="C798" s="58"/>
      <c r="D798" s="58"/>
      <c r="E798" s="58"/>
      <c r="F798" s="58"/>
      <c r="G798" s="58"/>
      <c r="H798" s="58"/>
      <c r="I798" s="58"/>
      <c r="J798" s="58"/>
      <c r="K798" s="58"/>
      <c r="L798" s="58"/>
      <c r="M798" s="58"/>
      <c r="N798" s="58"/>
      <c r="O798" s="58"/>
      <c r="P798" s="58"/>
      <c r="Q798" s="58"/>
      <c r="R798" s="58"/>
      <c r="S798" s="58"/>
      <c r="T798" s="58"/>
      <c r="U798"/>
    </row>
    <row r="799" spans="1:21">
      <c r="A799" s="104" t="s">
        <v>728</v>
      </c>
      <c r="B799" s="58"/>
      <c r="C799" s="58"/>
      <c r="D799" s="58"/>
      <c r="E799" s="58"/>
      <c r="F799" s="58"/>
      <c r="G799" s="58"/>
      <c r="H799" s="58"/>
      <c r="I799" s="58"/>
      <c r="J799" s="58"/>
      <c r="K799" s="58"/>
      <c r="L799" s="58"/>
      <c r="M799" s="58"/>
      <c r="N799" s="58"/>
      <c r="O799" s="58"/>
      <c r="P799" s="58"/>
      <c r="Q799" s="58"/>
      <c r="R799" s="58"/>
      <c r="S799" s="58"/>
      <c r="T799" s="58"/>
      <c r="U799"/>
    </row>
    <row r="800" spans="1:21">
      <c r="A800" s="105" t="s">
        <v>622</v>
      </c>
      <c r="B800" s="58">
        <v>6802397.4784137402</v>
      </c>
      <c r="C800" s="58">
        <v>6155738.8700000001</v>
      </c>
      <c r="D800" s="58">
        <v>5510117.2800000003</v>
      </c>
      <c r="E800" s="58">
        <v>796546.12</v>
      </c>
      <c r="F800" s="58">
        <v>663153.23</v>
      </c>
      <c r="G800" s="58">
        <v>529760.34</v>
      </c>
      <c r="H800" s="58">
        <v>396367.45</v>
      </c>
      <c r="I800" s="58">
        <v>262974.56</v>
      </c>
      <c r="J800" s="58">
        <v>129581.67</v>
      </c>
      <c r="K800" s="58"/>
      <c r="L800" s="58"/>
      <c r="M800" s="58"/>
      <c r="N800" s="58"/>
      <c r="O800" s="58"/>
      <c r="P800" s="58"/>
      <c r="Q800" s="58"/>
      <c r="R800" s="58"/>
      <c r="S800" s="58"/>
      <c r="T800" s="58">
        <v>6802397.4784137402</v>
      </c>
      <c r="U800"/>
    </row>
    <row r="801" spans="1:21">
      <c r="A801" s="105" t="s">
        <v>614</v>
      </c>
      <c r="B801" s="58">
        <v>405521.34078007861</v>
      </c>
      <c r="C801" s="58">
        <v>383098.06</v>
      </c>
      <c r="D801" s="58">
        <v>345444.46</v>
      </c>
      <c r="E801" s="58">
        <v>196662.41</v>
      </c>
      <c r="F801" s="58">
        <v>67626.77</v>
      </c>
      <c r="G801" s="58">
        <v>21884.06</v>
      </c>
      <c r="H801" s="58">
        <v>17482.09</v>
      </c>
      <c r="I801" s="58">
        <v>13080.13</v>
      </c>
      <c r="J801" s="58">
        <v>8678.16</v>
      </c>
      <c r="K801" s="58"/>
      <c r="L801" s="58"/>
      <c r="M801" s="58"/>
      <c r="N801" s="58"/>
      <c r="O801" s="58"/>
      <c r="P801" s="58"/>
      <c r="Q801" s="58"/>
      <c r="R801" s="58"/>
      <c r="S801" s="58"/>
      <c r="T801" s="58">
        <v>1459477.4807800786</v>
      </c>
      <c r="U801"/>
    </row>
    <row r="802" spans="1:21">
      <c r="A802" s="105" t="s">
        <v>616</v>
      </c>
      <c r="B802" s="58">
        <v>645720.02890874073</v>
      </c>
      <c r="C802" s="58">
        <v>645621.59</v>
      </c>
      <c r="D802" s="58">
        <v>645621.59</v>
      </c>
      <c r="E802" s="58">
        <v>4713571.16</v>
      </c>
      <c r="F802" s="58">
        <v>133392.89000000001</v>
      </c>
      <c r="G802" s="58">
        <v>133392.89000000001</v>
      </c>
      <c r="H802" s="58">
        <v>133392.89000000001</v>
      </c>
      <c r="I802" s="58">
        <v>133392.89000000001</v>
      </c>
      <c r="J802" s="58">
        <v>133392.89000000001</v>
      </c>
      <c r="K802" s="58"/>
      <c r="L802" s="58"/>
      <c r="M802" s="58"/>
      <c r="N802" s="58"/>
      <c r="O802" s="58"/>
      <c r="P802" s="58"/>
      <c r="Q802" s="58"/>
      <c r="R802" s="58"/>
      <c r="S802" s="58"/>
      <c r="T802" s="58">
        <v>7317498.8189087389</v>
      </c>
      <c r="U802"/>
    </row>
    <row r="803" spans="1:21">
      <c r="A803" s="105" t="s">
        <v>612</v>
      </c>
      <c r="B803" s="58"/>
      <c r="C803" s="58"/>
      <c r="D803" s="58"/>
      <c r="E803" s="58"/>
      <c r="F803" s="58"/>
      <c r="G803" s="58"/>
      <c r="H803" s="58"/>
      <c r="I803" s="58"/>
      <c r="J803" s="58"/>
      <c r="K803" s="58"/>
      <c r="L803" s="58"/>
      <c r="M803" s="58"/>
      <c r="N803" s="58"/>
      <c r="O803" s="58"/>
      <c r="P803" s="58"/>
      <c r="Q803" s="58"/>
      <c r="R803" s="58"/>
      <c r="S803" s="58"/>
      <c r="T803" s="58"/>
      <c r="U803"/>
    </row>
    <row r="804" spans="1:21">
      <c r="A804" s="104" t="s">
        <v>729</v>
      </c>
      <c r="B804" s="58"/>
      <c r="C804" s="58"/>
      <c r="D804" s="58"/>
      <c r="E804" s="58"/>
      <c r="F804" s="58"/>
      <c r="G804" s="58"/>
      <c r="H804" s="58"/>
      <c r="I804" s="58"/>
      <c r="J804" s="58"/>
      <c r="K804" s="58"/>
      <c r="L804" s="58"/>
      <c r="M804" s="58"/>
      <c r="N804" s="58"/>
      <c r="O804" s="58"/>
      <c r="P804" s="58"/>
      <c r="Q804" s="58"/>
      <c r="R804" s="58"/>
      <c r="S804" s="58"/>
      <c r="T804" s="58"/>
      <c r="U804"/>
    </row>
    <row r="805" spans="1:21">
      <c r="A805" s="105" t="s">
        <v>622</v>
      </c>
      <c r="B805" s="58">
        <v>2375068.7070504697</v>
      </c>
      <c r="C805" s="58">
        <v>0</v>
      </c>
      <c r="D805" s="58">
        <v>0</v>
      </c>
      <c r="E805" s="58">
        <v>-0.27999999932944775</v>
      </c>
      <c r="F805" s="58">
        <v>0.33999999985098839</v>
      </c>
      <c r="G805" s="58">
        <v>0.34999999962747097</v>
      </c>
      <c r="H805" s="58">
        <v>-0.46000000089406967</v>
      </c>
      <c r="I805" s="58">
        <v>-0.23999999836087227</v>
      </c>
      <c r="J805" s="58">
        <v>0.22000000067055225</v>
      </c>
      <c r="K805" s="58"/>
      <c r="L805" s="58"/>
      <c r="M805" s="58"/>
      <c r="N805" s="58"/>
      <c r="O805" s="58"/>
      <c r="P805" s="58"/>
      <c r="Q805" s="58"/>
      <c r="R805" s="58"/>
      <c r="S805" s="58"/>
      <c r="T805" s="58">
        <v>2375068.7070504697</v>
      </c>
      <c r="U805"/>
    </row>
    <row r="806" spans="1:21">
      <c r="A806" s="105" t="s">
        <v>614</v>
      </c>
      <c r="B806" s="58">
        <v>0</v>
      </c>
      <c r="C806" s="58">
        <v>0</v>
      </c>
      <c r="D806" s="58">
        <v>0</v>
      </c>
      <c r="E806" s="58">
        <v>0</v>
      </c>
      <c r="F806" s="58">
        <v>0</v>
      </c>
      <c r="G806" s="58">
        <v>0</v>
      </c>
      <c r="H806" s="58">
        <v>0</v>
      </c>
      <c r="I806" s="58">
        <v>0</v>
      </c>
      <c r="J806" s="58">
        <v>1590.4299999999348</v>
      </c>
      <c r="K806" s="58"/>
      <c r="L806" s="58"/>
      <c r="M806" s="58"/>
      <c r="N806" s="58"/>
      <c r="O806" s="58"/>
      <c r="P806" s="58"/>
      <c r="Q806" s="58"/>
      <c r="R806" s="58"/>
      <c r="S806" s="58"/>
      <c r="T806" s="58">
        <v>1590.4299999999348</v>
      </c>
      <c r="U806"/>
    </row>
    <row r="807" spans="1:21">
      <c r="A807" s="105" t="s">
        <v>616</v>
      </c>
      <c r="B807" s="58">
        <v>0</v>
      </c>
      <c r="C807" s="58">
        <v>0</v>
      </c>
      <c r="D807" s="58">
        <v>0</v>
      </c>
      <c r="E807" s="58">
        <v>0</v>
      </c>
      <c r="F807" s="58">
        <v>0</v>
      </c>
      <c r="G807" s="58">
        <v>0</v>
      </c>
      <c r="H807" s="58">
        <v>0</v>
      </c>
      <c r="I807" s="58">
        <v>0</v>
      </c>
      <c r="J807" s="58">
        <v>0</v>
      </c>
      <c r="K807" s="58"/>
      <c r="L807" s="58"/>
      <c r="M807" s="58"/>
      <c r="N807" s="58"/>
      <c r="O807" s="58"/>
      <c r="P807" s="58"/>
      <c r="Q807" s="58"/>
      <c r="R807" s="58"/>
      <c r="S807" s="58"/>
      <c r="T807" s="58">
        <v>0</v>
      </c>
      <c r="U807"/>
    </row>
    <row r="808" spans="1:21">
      <c r="A808" s="105" t="s">
        <v>612</v>
      </c>
      <c r="B808" s="58"/>
      <c r="C808" s="58"/>
      <c r="D808" s="58"/>
      <c r="E808" s="58"/>
      <c r="F808" s="58"/>
      <c r="G808" s="58"/>
      <c r="H808" s="58"/>
      <c r="I808" s="58"/>
      <c r="J808" s="58"/>
      <c r="K808" s="58"/>
      <c r="L808" s="58"/>
      <c r="M808" s="58"/>
      <c r="N808" s="58"/>
      <c r="O808" s="58"/>
      <c r="P808" s="58"/>
      <c r="Q808" s="58"/>
      <c r="R808" s="58"/>
      <c r="S808" s="58"/>
      <c r="T808" s="58"/>
      <c r="U808"/>
    </row>
    <row r="809" spans="1:21">
      <c r="A809" s="104" t="s">
        <v>623</v>
      </c>
      <c r="B809" s="58">
        <v>82358354.946276397</v>
      </c>
      <c r="C809" s="58">
        <v>32986080.280000001</v>
      </c>
      <c r="D809" s="58">
        <v>29708450.129999995</v>
      </c>
      <c r="E809" s="58">
        <v>27137652.640000001</v>
      </c>
      <c r="F809" s="58">
        <v>16962587</v>
      </c>
      <c r="G809" s="58">
        <v>16517587</v>
      </c>
      <c r="H809" s="58">
        <v>18698339.079999998</v>
      </c>
      <c r="I809" s="58">
        <v>19598660</v>
      </c>
      <c r="J809" s="58">
        <v>15538681</v>
      </c>
      <c r="K809" s="58">
        <v>15028637</v>
      </c>
      <c r="L809" s="58">
        <v>14548323</v>
      </c>
      <c r="M809" s="58">
        <v>19853069.52</v>
      </c>
      <c r="N809" s="58">
        <v>19853070</v>
      </c>
      <c r="O809" s="58">
        <v>37514615</v>
      </c>
      <c r="P809" s="58">
        <v>36263209</v>
      </c>
      <c r="Q809" s="58">
        <v>34891154</v>
      </c>
      <c r="R809" s="58">
        <v>33390826</v>
      </c>
      <c r="S809" s="58">
        <v>31786309</v>
      </c>
      <c r="T809" s="58">
        <v>82358354.946276397</v>
      </c>
      <c r="U809"/>
    </row>
    <row r="810" spans="1:21">
      <c r="A810" s="104" t="s">
        <v>615</v>
      </c>
      <c r="B810" s="58">
        <v>10092156.140744096</v>
      </c>
      <c r="C810" s="58">
        <v>9811450.3299999982</v>
      </c>
      <c r="D810" s="58">
        <v>8744162.7799999993</v>
      </c>
      <c r="E810" s="58">
        <v>7482091.9099999992</v>
      </c>
      <c r="F810" s="58">
        <v>7408150.29</v>
      </c>
      <c r="G810" s="58">
        <v>5905937.5199999996</v>
      </c>
      <c r="H810" s="58">
        <v>7188152.6999999974</v>
      </c>
      <c r="I810" s="58">
        <v>6591134.7600000007</v>
      </c>
      <c r="J810" s="58">
        <v>6154977.240000003</v>
      </c>
      <c r="K810" s="58">
        <v>6155918.4100000011</v>
      </c>
      <c r="L810" s="58">
        <v>7187582.7000000002</v>
      </c>
      <c r="M810" s="58">
        <v>12805679.969999999</v>
      </c>
      <c r="N810" s="58">
        <v>8240884.8500000006</v>
      </c>
      <c r="O810" s="58">
        <v>11103158.339999998</v>
      </c>
      <c r="P810" s="58">
        <v>12069387.360000001</v>
      </c>
      <c r="Q810" s="58">
        <v>12217123.26</v>
      </c>
      <c r="R810" s="58">
        <v>12055266.75</v>
      </c>
      <c r="S810" s="58">
        <v>12390124.68</v>
      </c>
      <c r="T810" s="58">
        <v>163603339.99074411</v>
      </c>
      <c r="U810"/>
    </row>
    <row r="811" spans="1:21">
      <c r="A811" s="104" t="s">
        <v>617</v>
      </c>
      <c r="B811" s="58">
        <v>16853255.964333687</v>
      </c>
      <c r="C811" s="58">
        <v>22180066.800000001</v>
      </c>
      <c r="D811" s="58">
        <v>23981919.390000004</v>
      </c>
      <c r="E811" s="58">
        <v>19468639.890000001</v>
      </c>
      <c r="F811" s="58">
        <v>32525700.649999999</v>
      </c>
      <c r="G811" s="58">
        <v>19188216.27</v>
      </c>
      <c r="H811" s="58">
        <v>12284678.960000001</v>
      </c>
      <c r="I811" s="58">
        <v>12727941.91</v>
      </c>
      <c r="J811" s="58">
        <v>11865166.279999997</v>
      </c>
      <c r="K811" s="58">
        <v>11106964.469999999</v>
      </c>
      <c r="L811" s="58">
        <v>10931256.51</v>
      </c>
      <c r="M811" s="58">
        <v>13564102.500000002</v>
      </c>
      <c r="N811" s="58">
        <v>11498470.060000001</v>
      </c>
      <c r="O811" s="58">
        <v>12902585.740000002</v>
      </c>
      <c r="P811" s="58">
        <v>15448094.240000002</v>
      </c>
      <c r="Q811" s="58">
        <v>29098702.510000002</v>
      </c>
      <c r="R811" s="58">
        <v>17643035.700000007</v>
      </c>
      <c r="S811" s="58">
        <v>17529615.890000001</v>
      </c>
      <c r="T811" s="58">
        <v>310798413.73433381</v>
      </c>
      <c r="U811"/>
    </row>
    <row r="812" spans="1:21">
      <c r="A812" s="104" t="s">
        <v>613</v>
      </c>
      <c r="B812" s="58">
        <v>0</v>
      </c>
      <c r="C812" s="58">
        <v>0</v>
      </c>
      <c r="D812" s="58">
        <v>0</v>
      </c>
      <c r="E812" s="58">
        <v>40972000</v>
      </c>
      <c r="F812" s="58">
        <v>57302494</v>
      </c>
      <c r="G812" s="58">
        <v>75922000</v>
      </c>
      <c r="H812" s="58">
        <v>97066000</v>
      </c>
      <c r="I812" s="58">
        <v>66864000</v>
      </c>
      <c r="J812" s="58">
        <v>61223000</v>
      </c>
      <c r="K812" s="58">
        <v>65337000</v>
      </c>
      <c r="L812" s="58">
        <v>80911600.480000004</v>
      </c>
      <c r="M812" s="58">
        <v>68067073.510000005</v>
      </c>
      <c r="N812" s="58">
        <v>25163000</v>
      </c>
      <c r="O812" s="58">
        <v>44412000</v>
      </c>
      <c r="P812" s="58">
        <v>9411000</v>
      </c>
      <c r="Q812" s="58">
        <v>15391000</v>
      </c>
      <c r="R812" s="58">
        <v>16681000</v>
      </c>
      <c r="S812" s="58">
        <v>11343000</v>
      </c>
      <c r="T812" s="58">
        <v>736066167.99000001</v>
      </c>
      <c r="U812"/>
    </row>
  </sheetData>
  <pageMargins left="0.75" right="0.75" top="1" bottom="1" header="0.5" footer="0.5"/>
  <pageSetup paperSize="9" orientation="portrait" horizontalDpi="4294967292" verticalDpi="4294967292"/>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enableFormatConditionsCalculation="0"/>
  <dimension ref="A1:C12"/>
  <sheetViews>
    <sheetView topLeftCell="A10" workbookViewId="0">
      <selection activeCell="C9" sqref="C9"/>
    </sheetView>
  </sheetViews>
  <sheetFormatPr baseColWidth="10" defaultRowHeight="15" x14ac:dyDescent="0"/>
  <cols>
    <col min="1" max="1" width="17.6640625" style="40" customWidth="1"/>
    <col min="2" max="2" width="41.6640625" style="40" bestFit="1" customWidth="1"/>
    <col min="3" max="3" width="145" style="40" customWidth="1"/>
    <col min="4" max="16384" width="10.83203125" style="40"/>
  </cols>
  <sheetData>
    <row r="1" spans="1:3">
      <c r="A1" s="40" t="s">
        <v>69</v>
      </c>
      <c r="B1" s="41" t="s">
        <v>70</v>
      </c>
    </row>
    <row r="2" spans="1:3">
      <c r="A2" s="42" t="s">
        <v>200</v>
      </c>
      <c r="B2" s="40" t="s">
        <v>202</v>
      </c>
      <c r="C2" s="40" t="s">
        <v>203</v>
      </c>
    </row>
    <row r="3" spans="1:3">
      <c r="A3" s="40" t="s">
        <v>66</v>
      </c>
      <c r="B3" s="40" t="s">
        <v>206</v>
      </c>
      <c r="C3" s="40" t="s">
        <v>243</v>
      </c>
    </row>
    <row r="4" spans="1:3">
      <c r="A4" s="40" t="s">
        <v>245</v>
      </c>
    </row>
    <row r="5" spans="1:3">
      <c r="A5" s="40" t="s">
        <v>212</v>
      </c>
      <c r="B5" s="41" t="s">
        <v>308</v>
      </c>
      <c r="C5" s="40" t="s">
        <v>309</v>
      </c>
    </row>
    <row r="6" spans="1:3">
      <c r="A6" s="40" t="s">
        <v>325</v>
      </c>
      <c r="B6" s="40" t="s">
        <v>326</v>
      </c>
    </row>
    <row r="7" spans="1:3">
      <c r="A7" s="40" t="s">
        <v>294</v>
      </c>
      <c r="B7" s="40" t="s">
        <v>401</v>
      </c>
    </row>
    <row r="8" spans="1:3">
      <c r="A8" s="40" t="s">
        <v>403</v>
      </c>
      <c r="B8" s="40" t="s">
        <v>402</v>
      </c>
    </row>
    <row r="9" spans="1:3">
      <c r="A9" s="40" t="s">
        <v>437</v>
      </c>
    </row>
    <row r="10" spans="1:3" ht="246" customHeight="1">
      <c r="B10" s="40" t="s">
        <v>438</v>
      </c>
      <c r="C10" s="43" t="s">
        <v>439</v>
      </c>
    </row>
    <row r="11" spans="1:3" ht="405">
      <c r="A11" s="40" t="s">
        <v>441</v>
      </c>
      <c r="B11" s="40" t="s">
        <v>440</v>
      </c>
      <c r="C11" s="43" t="s">
        <v>442</v>
      </c>
    </row>
    <row r="12" spans="1:3" ht="345">
      <c r="B12" s="40" t="s">
        <v>445</v>
      </c>
      <c r="C12" s="43" t="s">
        <v>444</v>
      </c>
    </row>
  </sheetData>
  <hyperlinks>
    <hyperlink ref="B1" r:id="rId1"/>
    <hyperlink ref="B5" r:id="rId2"/>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enableFormatConditionsCalculation="0"/>
  <dimension ref="A1:D16"/>
  <sheetViews>
    <sheetView workbookViewId="0">
      <selection activeCell="C1" sqref="C1"/>
    </sheetView>
  </sheetViews>
  <sheetFormatPr baseColWidth="10" defaultRowHeight="15" x14ac:dyDescent="0"/>
  <cols>
    <col min="2" max="2" width="25.5" bestFit="1" customWidth="1"/>
  </cols>
  <sheetData>
    <row r="1" spans="1:4">
      <c r="C1" t="s">
        <v>704</v>
      </c>
    </row>
    <row r="2" spans="1:4">
      <c r="A2" s="1" t="s">
        <v>162</v>
      </c>
      <c r="B2" t="s">
        <v>7</v>
      </c>
      <c r="C2">
        <v>2007</v>
      </c>
    </row>
    <row r="3" spans="1:4">
      <c r="A3" s="1" t="s">
        <v>163</v>
      </c>
      <c r="B3" t="s">
        <v>23</v>
      </c>
      <c r="C3">
        <v>2004</v>
      </c>
    </row>
    <row r="4" spans="1:4">
      <c r="A4" s="1" t="s">
        <v>164</v>
      </c>
      <c r="B4" t="s">
        <v>17</v>
      </c>
      <c r="C4">
        <v>2005</v>
      </c>
    </row>
    <row r="5" spans="1:4">
      <c r="A5" s="1" t="s">
        <v>165</v>
      </c>
      <c r="B5" t="s">
        <v>11</v>
      </c>
      <c r="C5">
        <v>2004</v>
      </c>
    </row>
    <row r="6" spans="1:4">
      <c r="A6" s="1" t="s">
        <v>166</v>
      </c>
      <c r="B6" t="s">
        <v>128</v>
      </c>
      <c r="C6">
        <v>2006</v>
      </c>
      <c r="D6" t="s">
        <v>705</v>
      </c>
    </row>
    <row r="7" spans="1:4">
      <c r="A7" s="1" t="s">
        <v>167</v>
      </c>
      <c r="B7" t="s">
        <v>129</v>
      </c>
      <c r="C7">
        <v>2005</v>
      </c>
    </row>
    <row r="8" spans="1:4">
      <c r="A8" s="1" t="s">
        <v>168</v>
      </c>
      <c r="B8" t="s">
        <v>130</v>
      </c>
      <c r="C8">
        <v>2009</v>
      </c>
    </row>
    <row r="9" spans="1:4">
      <c r="A9" s="1" t="s">
        <v>169</v>
      </c>
      <c r="B9" t="s">
        <v>131</v>
      </c>
      <c r="C9">
        <v>2002</v>
      </c>
    </row>
    <row r="10" spans="1:4">
      <c r="A10" s="1" t="s">
        <v>170</v>
      </c>
      <c r="B10" t="s">
        <v>132</v>
      </c>
      <c r="C10">
        <v>2002</v>
      </c>
    </row>
    <row r="11" spans="1:4">
      <c r="A11" s="1" t="s">
        <v>171</v>
      </c>
      <c r="B11" t="s">
        <v>133</v>
      </c>
      <c r="C11">
        <v>2005</v>
      </c>
    </row>
    <row r="12" spans="1:4">
      <c r="A12" s="1" t="s">
        <v>173</v>
      </c>
      <c r="B12" t="s">
        <v>34</v>
      </c>
      <c r="C12">
        <v>2001</v>
      </c>
    </row>
    <row r="13" spans="1:4">
      <c r="A13" s="1" t="s">
        <v>172</v>
      </c>
      <c r="B13" t="s">
        <v>134</v>
      </c>
      <c r="C13">
        <v>2010</v>
      </c>
    </row>
    <row r="14" spans="1:4">
      <c r="A14" s="1" t="s">
        <v>277</v>
      </c>
      <c r="B14" t="s">
        <v>277</v>
      </c>
      <c r="C14">
        <v>1999</v>
      </c>
    </row>
    <row r="15" spans="1:4">
      <c r="A15" s="1" t="s">
        <v>258</v>
      </c>
      <c r="B15" t="s">
        <v>258</v>
      </c>
    </row>
    <row r="16" spans="1:4">
      <c r="A16" s="1" t="s">
        <v>536</v>
      </c>
      <c r="B16" t="s">
        <v>535</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enableFormatConditionsCalculation="0"/>
  <dimension ref="A1:Q19"/>
  <sheetViews>
    <sheetView workbookViewId="0">
      <selection activeCell="G12" sqref="G12"/>
    </sheetView>
  </sheetViews>
  <sheetFormatPr baseColWidth="10" defaultRowHeight="15" x14ac:dyDescent="0"/>
  <cols>
    <col min="10" max="10" width="11.1640625" customWidth="1"/>
  </cols>
  <sheetData>
    <row r="1" spans="1:17" s="43" customFormat="1" ht="75">
      <c r="A1" s="43" t="s">
        <v>443</v>
      </c>
      <c r="B1" s="43" t="s">
        <v>431</v>
      </c>
      <c r="C1" s="43" t="s">
        <v>436</v>
      </c>
      <c r="D1" s="44" t="s">
        <v>425</v>
      </c>
      <c r="E1" s="44" t="s">
        <v>429</v>
      </c>
      <c r="F1" s="44" t="s">
        <v>430</v>
      </c>
      <c r="G1" s="45" t="s">
        <v>424</v>
      </c>
      <c r="H1" s="45" t="s">
        <v>429</v>
      </c>
      <c r="I1" s="45" t="s">
        <v>430</v>
      </c>
      <c r="J1" s="43" t="s">
        <v>427</v>
      </c>
      <c r="K1" s="43" t="s">
        <v>428</v>
      </c>
      <c r="L1" s="43" t="s">
        <v>426</v>
      </c>
      <c r="M1" s="43" t="s">
        <v>432</v>
      </c>
      <c r="N1" s="43" t="s">
        <v>433</v>
      </c>
      <c r="O1" s="43" t="s">
        <v>434</v>
      </c>
      <c r="P1" s="43" t="s">
        <v>50</v>
      </c>
    </row>
    <row r="2" spans="1:17">
      <c r="A2">
        <v>2001</v>
      </c>
    </row>
    <row r="3" spans="1:17">
      <c r="A3">
        <v>2002</v>
      </c>
    </row>
    <row r="4" spans="1:17">
      <c r="A4">
        <v>2003</v>
      </c>
    </row>
    <row r="5" spans="1:17">
      <c r="A5">
        <v>2004</v>
      </c>
      <c r="C5" s="4"/>
      <c r="D5" s="4">
        <v>3.7999999999999999E-2</v>
      </c>
      <c r="E5" s="4"/>
      <c r="F5" s="4"/>
      <c r="H5" s="4"/>
      <c r="I5" s="4"/>
    </row>
    <row r="6" spans="1:17">
      <c r="A6">
        <v>2005</v>
      </c>
      <c r="C6" s="4"/>
      <c r="D6" s="4">
        <v>3.5499999999999997E-2</v>
      </c>
      <c r="E6" s="4"/>
      <c r="F6" s="4"/>
      <c r="G6" s="4">
        <v>3.56E-2</v>
      </c>
      <c r="H6" s="4"/>
      <c r="I6" s="4"/>
    </row>
    <row r="7" spans="1:17">
      <c r="A7">
        <v>2006</v>
      </c>
      <c r="D7" s="4">
        <f>D6-0.23%</f>
        <v>3.3199999999999993E-2</v>
      </c>
      <c r="G7" s="4">
        <v>3.9199999999999999E-2</v>
      </c>
    </row>
    <row r="8" spans="1:17">
      <c r="A8">
        <v>2007</v>
      </c>
      <c r="C8" s="4">
        <v>2.0000000000000001E-4</v>
      </c>
      <c r="D8" s="4">
        <v>4.1700000000000001E-2</v>
      </c>
      <c r="G8" s="4">
        <v>4.1500000000000002E-2</v>
      </c>
      <c r="L8" s="26">
        <v>0.22</v>
      </c>
    </row>
    <row r="9" spans="1:17">
      <c r="A9">
        <v>2008</v>
      </c>
      <c r="G9" s="4">
        <v>3.7900000000000003E-2</v>
      </c>
    </row>
    <row r="10" spans="1:17">
      <c r="A10">
        <v>2009</v>
      </c>
      <c r="C10" s="4"/>
      <c r="D10" s="4"/>
      <c r="G10" s="4">
        <v>2.9700000000000001E-2</v>
      </c>
      <c r="H10" s="4"/>
      <c r="I10" s="4"/>
      <c r="J10" s="4">
        <v>2.9700000000000001E-2</v>
      </c>
      <c r="K10" s="4">
        <v>3.3099999999999997E-2</v>
      </c>
      <c r="L10" s="4">
        <v>0.222</v>
      </c>
      <c r="P10" s="4"/>
    </row>
    <row r="11" spans="1:17">
      <c r="A11">
        <v>2010</v>
      </c>
      <c r="G11" s="4">
        <v>3.09E-2</v>
      </c>
      <c r="J11" s="4">
        <v>3.09E-2</v>
      </c>
      <c r="K11" s="4">
        <v>3.09E-2</v>
      </c>
      <c r="L11" s="4">
        <v>0.19900000000000001</v>
      </c>
      <c r="M11" s="4"/>
      <c r="N11" s="4"/>
      <c r="O11" s="4"/>
      <c r="P11" s="4">
        <v>5.8000000000000003E-2</v>
      </c>
    </row>
    <row r="12" spans="1:17">
      <c r="A12">
        <v>2011</v>
      </c>
      <c r="C12" s="4"/>
      <c r="D12" s="4"/>
      <c r="G12" s="4">
        <v>3.2899999999999999E-2</v>
      </c>
      <c r="H12" s="4"/>
      <c r="I12" s="4"/>
      <c r="J12" s="4">
        <v>3.2899999999999999E-2</v>
      </c>
      <c r="K12" s="4">
        <v>3.4200000000000001E-2</v>
      </c>
      <c r="L12" s="4">
        <v>0.17399999999999999</v>
      </c>
      <c r="P12" s="4">
        <v>4.8000000000000001E-2</v>
      </c>
    </row>
    <row r="13" spans="1:17">
      <c r="A13">
        <v>2012</v>
      </c>
      <c r="C13" s="4">
        <v>2.4400000000000002E-2</v>
      </c>
      <c r="G13" s="4">
        <v>3.1300000000000001E-2</v>
      </c>
      <c r="H13" s="4">
        <v>3.5000000000000003E-2</v>
      </c>
      <c r="I13" s="4">
        <v>3.04E-2</v>
      </c>
      <c r="J13" s="4">
        <v>3.1300000000000001E-2</v>
      </c>
      <c r="K13" s="4">
        <v>3.5799999999999998E-2</v>
      </c>
      <c r="L13" s="4">
        <v>0.14699999999999999</v>
      </c>
      <c r="P13" s="4">
        <v>3.9E-2</v>
      </c>
    </row>
    <row r="14" spans="1:17">
      <c r="A14">
        <v>2013</v>
      </c>
      <c r="B14" s="26">
        <v>0.01</v>
      </c>
      <c r="C14" s="27">
        <v>1.7500000000000002E-2</v>
      </c>
      <c r="D14" s="27">
        <v>3.0800000000000001E-2</v>
      </c>
      <c r="G14" s="4">
        <v>3.0499999999999999E-2</v>
      </c>
      <c r="H14" s="4">
        <v>3.4200000000000001E-2</v>
      </c>
      <c r="I14" s="4">
        <v>3.0700000000000002E-2</v>
      </c>
      <c r="J14" s="4">
        <v>3.1E-2</v>
      </c>
      <c r="K14" s="4">
        <v>3.95E-2</v>
      </c>
      <c r="L14" s="4">
        <v>0.11899999999999999</v>
      </c>
      <c r="M14" s="4"/>
      <c r="N14" s="4"/>
      <c r="O14" s="4"/>
      <c r="P14" s="4">
        <v>3.3000000000000002E-2</v>
      </c>
      <c r="Q14" t="s">
        <v>446</v>
      </c>
    </row>
    <row r="15" spans="1:17">
      <c r="A15">
        <v>2014</v>
      </c>
      <c r="B15" s="4">
        <v>6.1000000000000004E-3</v>
      </c>
      <c r="C15" s="4">
        <v>1.35E-2</v>
      </c>
      <c r="D15" s="4">
        <v>2.4E-2</v>
      </c>
      <c r="G15" s="4">
        <v>2.9499999999999998E-2</v>
      </c>
      <c r="H15" s="4">
        <v>3.2599999999999997E-2</v>
      </c>
      <c r="I15" s="4">
        <v>2.92E-2</v>
      </c>
      <c r="K15" s="4">
        <v>4.0899999999999999E-2</v>
      </c>
      <c r="L15" s="4">
        <v>9.6000000000000002E-2</v>
      </c>
      <c r="P15" s="4">
        <v>2.5999999999999999E-2</v>
      </c>
    </row>
    <row r="16" spans="1:17">
      <c r="A16">
        <v>2015</v>
      </c>
      <c r="B16" s="4">
        <v>8.9999999999999998E-4</v>
      </c>
      <c r="C16" s="4">
        <v>9.4999999999999998E-3</v>
      </c>
      <c r="D16" s="4">
        <v>1.7500000000000002E-2</v>
      </c>
      <c r="E16" s="4">
        <v>1.7899999999999999E-2</v>
      </c>
      <c r="F16" s="4">
        <v>1.7399999999999999E-2</v>
      </c>
      <c r="G16" s="4">
        <v>2.8000000000000001E-2</v>
      </c>
      <c r="H16" s="4">
        <v>3.1E-2</v>
      </c>
      <c r="I16" s="4">
        <v>2.8500000000000001E-2</v>
      </c>
      <c r="J16" s="4"/>
      <c r="K16" s="4"/>
      <c r="L16" s="4">
        <v>7.4999999999999997E-2</v>
      </c>
      <c r="M16" s="4">
        <v>2.9000000000000001E-2</v>
      </c>
      <c r="N16" s="4">
        <v>4.0000000000000001E-3</v>
      </c>
      <c r="O16" s="4">
        <v>2.3E-2</v>
      </c>
      <c r="P16" s="4">
        <v>1.9E-2</v>
      </c>
    </row>
    <row r="17" spans="1:17">
      <c r="A17">
        <v>2016</v>
      </c>
      <c r="B17" s="4">
        <v>3.0000000000000001E-3</v>
      </c>
      <c r="C17" s="4"/>
      <c r="D17" s="4">
        <v>1.18E-2</v>
      </c>
      <c r="G17" s="4">
        <v>2.52E-2</v>
      </c>
      <c r="H17" s="4">
        <v>2.8199999999999999E-2</v>
      </c>
      <c r="I17" s="4">
        <v>2.4400000000000002E-2</v>
      </c>
      <c r="J17" s="4"/>
      <c r="K17" s="4"/>
      <c r="L17" s="4"/>
      <c r="M17" s="4"/>
      <c r="N17" s="4"/>
      <c r="O17" s="4"/>
      <c r="Q17" t="s">
        <v>435</v>
      </c>
    </row>
    <row r="18" spans="1:17">
      <c r="A18">
        <v>2017</v>
      </c>
      <c r="D18" s="4">
        <v>1.15E-2</v>
      </c>
      <c r="G18" s="4">
        <v>2.3699999999999999E-2</v>
      </c>
      <c r="J18" s="4"/>
      <c r="K18" s="4"/>
      <c r="Q18" t="s">
        <v>741</v>
      </c>
    </row>
    <row r="19" spans="1:17">
      <c r="A19">
        <v>2018</v>
      </c>
      <c r="D19" s="4">
        <v>1.0999999999999999E-2</v>
      </c>
      <c r="G19" s="4">
        <v>2.24E-2</v>
      </c>
      <c r="L19" s="4">
        <v>3.6999999999999998E-2</v>
      </c>
      <c r="Q19" t="s">
        <v>741</v>
      </c>
    </row>
  </sheetData>
  <sortState ref="A2:Q18">
    <sortCondition ref="A2:A18"/>
  </sortState>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enableFormatConditionsCalculation="0"/>
  <dimension ref="A11:B25"/>
  <sheetViews>
    <sheetView workbookViewId="0">
      <selection activeCell="G9" sqref="G9"/>
    </sheetView>
  </sheetViews>
  <sheetFormatPr baseColWidth="10" defaultRowHeight="15" x14ac:dyDescent="0"/>
  <sheetData>
    <row r="11" spans="1:2">
      <c r="A11" t="s">
        <v>663</v>
      </c>
      <c r="B11">
        <v>179</v>
      </c>
    </row>
    <row r="12" spans="1:2">
      <c r="A12" t="s">
        <v>665</v>
      </c>
      <c r="B12">
        <v>179</v>
      </c>
    </row>
    <row r="14" spans="1:2">
      <c r="A14" t="s">
        <v>659</v>
      </c>
      <c r="B14">
        <v>47</v>
      </c>
    </row>
    <row r="17" spans="1:2">
      <c r="A17" t="s">
        <v>643</v>
      </c>
      <c r="B17">
        <v>119</v>
      </c>
    </row>
    <row r="18" spans="1:2">
      <c r="A18" t="s">
        <v>647</v>
      </c>
      <c r="B18">
        <v>102</v>
      </c>
    </row>
    <row r="19" spans="1:2">
      <c r="A19" t="s">
        <v>642</v>
      </c>
      <c r="B19">
        <v>132</v>
      </c>
    </row>
    <row r="20" spans="1:2">
      <c r="A20" t="s">
        <v>685</v>
      </c>
      <c r="B20">
        <v>73</v>
      </c>
    </row>
    <row r="22" spans="1:2">
      <c r="A22" t="s">
        <v>677</v>
      </c>
      <c r="B22">
        <v>79</v>
      </c>
    </row>
    <row r="23" spans="1:2">
      <c r="A23" t="s">
        <v>686</v>
      </c>
      <c r="B23">
        <v>114</v>
      </c>
    </row>
    <row r="24" spans="1:2">
      <c r="A24" t="s">
        <v>689</v>
      </c>
      <c r="B24">
        <v>140</v>
      </c>
    </row>
    <row r="25" spans="1:2">
      <c r="A25" t="s">
        <v>675</v>
      </c>
      <c r="B25">
        <v>134</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enableFormatConditionsCalculation="0"/>
  <dimension ref="A1:A26"/>
  <sheetViews>
    <sheetView workbookViewId="0">
      <selection activeCell="F3" sqref="F3"/>
    </sheetView>
  </sheetViews>
  <sheetFormatPr baseColWidth="10" defaultRowHeight="15" x14ac:dyDescent="0"/>
  <cols>
    <col min="1" max="1" width="27.33203125" bestFit="1" customWidth="1"/>
  </cols>
  <sheetData>
    <row r="1" spans="1:1">
      <c r="A1" s="25" t="s">
        <v>393</v>
      </c>
    </row>
    <row r="2" spans="1:1">
      <c r="A2" t="s">
        <v>297</v>
      </c>
    </row>
    <row r="3" spans="1:1">
      <c r="A3" t="s">
        <v>295</v>
      </c>
    </row>
    <row r="4" spans="1:1">
      <c r="A4" t="s">
        <v>296</v>
      </c>
    </row>
    <row r="5" spans="1:1">
      <c r="A5" t="s">
        <v>294</v>
      </c>
    </row>
    <row r="6" spans="1:1">
      <c r="A6" t="s">
        <v>292</v>
      </c>
    </row>
    <row r="7" spans="1:1">
      <c r="A7" t="s">
        <v>245</v>
      </c>
    </row>
    <row r="8" spans="1:1">
      <c r="A8" t="s">
        <v>316</v>
      </c>
    </row>
    <row r="9" spans="1:1">
      <c r="A9" t="s">
        <v>42</v>
      </c>
    </row>
    <row r="10" spans="1:1">
      <c r="A10" t="s">
        <v>66</v>
      </c>
    </row>
    <row r="11" spans="1:1">
      <c r="A11" t="s">
        <v>95</v>
      </c>
    </row>
    <row r="12" spans="1:1">
      <c r="A12" t="s">
        <v>321</v>
      </c>
    </row>
    <row r="13" spans="1:1">
      <c r="A13" t="s">
        <v>298</v>
      </c>
    </row>
    <row r="14" spans="1:1">
      <c r="A14" t="s">
        <v>45</v>
      </c>
    </row>
    <row r="15" spans="1:1">
      <c r="A15" t="s">
        <v>37</v>
      </c>
    </row>
    <row r="16" spans="1:1">
      <c r="A16" t="s">
        <v>100</v>
      </c>
    </row>
    <row r="17" spans="1:1">
      <c r="A17" t="s">
        <v>330</v>
      </c>
    </row>
    <row r="18" spans="1:1">
      <c r="A18" t="s">
        <v>112</v>
      </c>
    </row>
    <row r="19" spans="1:1">
      <c r="A19" t="s">
        <v>347</v>
      </c>
    </row>
    <row r="20" spans="1:1">
      <c r="A20" t="s">
        <v>319</v>
      </c>
    </row>
    <row r="21" spans="1:1">
      <c r="A21" t="s">
        <v>299</v>
      </c>
    </row>
    <row r="22" spans="1:1">
      <c r="A22" t="s">
        <v>320</v>
      </c>
    </row>
    <row r="23" spans="1:1">
      <c r="A23" t="s">
        <v>30</v>
      </c>
    </row>
    <row r="24" spans="1:1">
      <c r="A24" t="s">
        <v>200</v>
      </c>
    </row>
    <row r="25" spans="1:1">
      <c r="A25" t="s">
        <v>234</v>
      </c>
    </row>
    <row r="26" spans="1:1">
      <c r="A26" t="s">
        <v>212</v>
      </c>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enableFormatConditionsCalculation="0"/>
  <dimension ref="A1:I9"/>
  <sheetViews>
    <sheetView workbookViewId="0">
      <selection activeCell="F3" sqref="F3"/>
    </sheetView>
  </sheetViews>
  <sheetFormatPr baseColWidth="10" defaultRowHeight="15" x14ac:dyDescent="0"/>
  <cols>
    <col min="1" max="1" width="23.83203125" style="28" bestFit="1" customWidth="1"/>
    <col min="2" max="2" width="11.33203125" style="29" bestFit="1" customWidth="1"/>
    <col min="3" max="3" width="66.6640625" style="30" customWidth="1"/>
    <col min="4" max="4" width="13.5" style="28" bestFit="1" customWidth="1"/>
    <col min="5" max="5" width="31" style="28" bestFit="1" customWidth="1"/>
    <col min="6" max="9" width="9.6640625" style="33" bestFit="1" customWidth="1"/>
    <col min="10" max="16384" width="10.83203125" style="28"/>
  </cols>
  <sheetData>
    <row r="1" spans="1:9" s="36" customFormat="1">
      <c r="A1" s="36" t="s">
        <v>410</v>
      </c>
      <c r="B1" s="37" t="s">
        <v>411</v>
      </c>
      <c r="C1" s="38" t="s">
        <v>412</v>
      </c>
      <c r="D1" s="36" t="s">
        <v>147</v>
      </c>
      <c r="E1" s="36" t="s">
        <v>413</v>
      </c>
      <c r="F1" s="39" t="s">
        <v>414</v>
      </c>
      <c r="G1" s="39" t="s">
        <v>415</v>
      </c>
      <c r="H1" s="39" t="s">
        <v>416</v>
      </c>
      <c r="I1" s="39" t="s">
        <v>417</v>
      </c>
    </row>
    <row r="2" spans="1:9">
      <c r="A2" s="28" t="s">
        <v>40</v>
      </c>
      <c r="B2" s="29" t="s">
        <v>78</v>
      </c>
      <c r="C2" s="31" t="s">
        <v>68</v>
      </c>
      <c r="D2" s="32"/>
      <c r="E2" s="28" t="s">
        <v>66</v>
      </c>
      <c r="F2" s="34">
        <v>0</v>
      </c>
      <c r="G2" s="35">
        <v>3.5000000000000003E-2</v>
      </c>
      <c r="H2" s="34">
        <v>0.05</v>
      </c>
    </row>
    <row r="3" spans="1:9">
      <c r="A3" s="28" t="s">
        <v>40</v>
      </c>
      <c r="B3" s="29" t="s">
        <v>204</v>
      </c>
      <c r="C3" s="31" t="s">
        <v>205</v>
      </c>
      <c r="D3" s="32"/>
      <c r="E3" s="28" t="s">
        <v>66</v>
      </c>
      <c r="F3" s="34">
        <v>0</v>
      </c>
      <c r="G3" s="35">
        <v>3.5000000000000003E-2</v>
      </c>
      <c r="H3" s="34">
        <v>0.05</v>
      </c>
    </row>
    <row r="4" spans="1:9">
      <c r="A4" s="28" t="s">
        <v>93</v>
      </c>
      <c r="B4" s="29" t="s">
        <v>289</v>
      </c>
      <c r="C4" s="31" t="s">
        <v>290</v>
      </c>
      <c r="D4" s="32"/>
      <c r="E4" s="28" t="s">
        <v>292</v>
      </c>
      <c r="F4" s="34">
        <v>0</v>
      </c>
      <c r="G4" s="34">
        <v>0.05</v>
      </c>
      <c r="H4" s="34">
        <v>0.09</v>
      </c>
    </row>
    <row r="5" spans="1:9">
      <c r="A5" s="28" t="s">
        <v>93</v>
      </c>
      <c r="B5" s="29" t="s">
        <v>284</v>
      </c>
      <c r="C5" s="31" t="s">
        <v>285</v>
      </c>
      <c r="D5" s="32"/>
      <c r="E5" s="28" t="s">
        <v>394</v>
      </c>
      <c r="F5" s="34">
        <v>-0.02</v>
      </c>
      <c r="G5" s="35">
        <v>0</v>
      </c>
      <c r="H5" s="34">
        <v>0.03</v>
      </c>
    </row>
    <row r="6" spans="1:9">
      <c r="A6" s="28" t="s">
        <v>93</v>
      </c>
      <c r="B6" s="29" t="s">
        <v>246</v>
      </c>
      <c r="C6" s="31" t="s">
        <v>247</v>
      </c>
      <c r="D6" s="32"/>
      <c r="E6" s="28" t="s">
        <v>395</v>
      </c>
      <c r="F6" s="34" t="s">
        <v>396</v>
      </c>
      <c r="G6" s="34" t="s">
        <v>397</v>
      </c>
      <c r="H6" s="34" t="s">
        <v>398</v>
      </c>
      <c r="I6" s="34" t="s">
        <v>399</v>
      </c>
    </row>
    <row r="7" spans="1:9" ht="30">
      <c r="A7" s="28" t="s">
        <v>229</v>
      </c>
      <c r="B7" s="29" t="s">
        <v>504</v>
      </c>
      <c r="C7" s="31" t="s">
        <v>244</v>
      </c>
      <c r="D7" s="32"/>
      <c r="E7" s="28" t="s">
        <v>400</v>
      </c>
      <c r="F7" s="34">
        <v>-0.02</v>
      </c>
      <c r="G7" s="34">
        <v>0</v>
      </c>
      <c r="H7" s="34">
        <v>0.02</v>
      </c>
    </row>
    <row r="8" spans="1:9" ht="30">
      <c r="A8" s="28" t="s">
        <v>49</v>
      </c>
      <c r="B8" s="29" t="s">
        <v>180</v>
      </c>
      <c r="C8" s="31" t="s">
        <v>181</v>
      </c>
      <c r="D8" s="32" t="s">
        <v>409</v>
      </c>
      <c r="E8" s="28" t="s">
        <v>404</v>
      </c>
      <c r="F8" s="33" t="s">
        <v>405</v>
      </c>
      <c r="G8" s="33" t="s">
        <v>406</v>
      </c>
      <c r="H8" s="33" t="s">
        <v>407</v>
      </c>
      <c r="I8" s="33" t="s">
        <v>408</v>
      </c>
    </row>
    <row r="9" spans="1:9">
      <c r="A9" s="28" t="s">
        <v>49</v>
      </c>
      <c r="B9" s="29" t="s">
        <v>199</v>
      </c>
      <c r="C9" s="31" t="s">
        <v>201</v>
      </c>
      <c r="D9" s="32"/>
      <c r="E9" s="28" t="s">
        <v>200</v>
      </c>
      <c r="F9" s="33">
        <v>1.1000000000000001</v>
      </c>
      <c r="G9" s="33">
        <v>1.5</v>
      </c>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enableFormatConditionsCalculation="0"/>
  <dimension ref="A1:F6"/>
  <sheetViews>
    <sheetView workbookViewId="0">
      <selection activeCell="E3" sqref="E3"/>
    </sheetView>
  </sheetViews>
  <sheetFormatPr baseColWidth="10" defaultRowHeight="15" x14ac:dyDescent="0"/>
  <cols>
    <col min="1" max="1" width="18.5" bestFit="1" customWidth="1"/>
    <col min="3" max="3" width="13.6640625" customWidth="1"/>
    <col min="4" max="4" width="6.1640625" bestFit="1" customWidth="1"/>
    <col min="5" max="5" width="71.33203125" bestFit="1" customWidth="1"/>
    <col min="6" max="6" width="125.1640625" style="25" bestFit="1" customWidth="1"/>
  </cols>
  <sheetData>
    <row r="1" spans="1:6" ht="45">
      <c r="A1" s="7" t="s">
        <v>0</v>
      </c>
      <c r="B1" s="7" t="s">
        <v>1</v>
      </c>
      <c r="C1" s="8" t="s">
        <v>2</v>
      </c>
      <c r="D1" s="9" t="s">
        <v>3</v>
      </c>
      <c r="E1" s="7" t="s">
        <v>4</v>
      </c>
      <c r="F1" s="7" t="s">
        <v>422</v>
      </c>
    </row>
    <row r="2" spans="1:6">
      <c r="A2" t="s">
        <v>227</v>
      </c>
      <c r="B2" t="s">
        <v>23</v>
      </c>
      <c r="C2" s="2">
        <v>16991098.010000002</v>
      </c>
      <c r="D2">
        <v>17</v>
      </c>
      <c r="E2" t="s">
        <v>228</v>
      </c>
      <c r="F2" s="25" t="s">
        <v>423</v>
      </c>
    </row>
    <row r="3" spans="1:6">
      <c r="A3" t="s">
        <v>306</v>
      </c>
      <c r="B3" t="s">
        <v>23</v>
      </c>
      <c r="C3" s="2">
        <v>10354303</v>
      </c>
      <c r="D3">
        <v>15</v>
      </c>
      <c r="E3" t="s">
        <v>307</v>
      </c>
      <c r="F3" s="25" t="s">
        <v>419</v>
      </c>
    </row>
    <row r="4" spans="1:6">
      <c r="A4" t="s">
        <v>333</v>
      </c>
      <c r="B4" t="s">
        <v>258</v>
      </c>
      <c r="C4" s="2">
        <v>8585271.9199999999</v>
      </c>
      <c r="D4">
        <v>22</v>
      </c>
      <c r="E4" t="s">
        <v>334</v>
      </c>
      <c r="F4" s="25" t="s">
        <v>418</v>
      </c>
    </row>
    <row r="5" spans="1:6">
      <c r="A5" t="s">
        <v>344</v>
      </c>
      <c r="B5" t="s">
        <v>258</v>
      </c>
      <c r="C5" s="2">
        <v>15824468</v>
      </c>
      <c r="D5">
        <v>19.420000000000002</v>
      </c>
      <c r="E5" t="s">
        <v>346</v>
      </c>
      <c r="F5" s="25" t="s">
        <v>420</v>
      </c>
    </row>
    <row r="6" spans="1:6">
      <c r="A6" s="1" t="s">
        <v>348</v>
      </c>
      <c r="B6" t="s">
        <v>258</v>
      </c>
      <c r="C6" s="2">
        <v>6725870.4800000004</v>
      </c>
      <c r="D6" s="3">
        <v>12</v>
      </c>
      <c r="E6" t="s">
        <v>349</v>
      </c>
      <c r="F6" s="25" t="s">
        <v>421</v>
      </c>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enableFormatConditionsCalculation="0"/>
  <dimension ref="A1:AP152"/>
  <sheetViews>
    <sheetView topLeftCell="G1" workbookViewId="0">
      <pane ySplit="1" topLeftCell="A2" activePane="bottomLeft" state="frozenSplit"/>
      <selection pane="bottomLeft" activeCell="U4" sqref="U4"/>
    </sheetView>
  </sheetViews>
  <sheetFormatPr baseColWidth="10" defaultRowHeight="15" x14ac:dyDescent="0"/>
  <cols>
    <col min="1" max="1" width="12.83203125" customWidth="1"/>
    <col min="2" max="2" width="10.33203125" style="46" customWidth="1"/>
    <col min="3" max="3" width="15" bestFit="1" customWidth="1"/>
    <col min="4" max="4" width="12" style="2" customWidth="1"/>
    <col min="5" max="5" width="12.5" style="2" customWidth="1"/>
    <col min="6" max="6" width="10.5" style="57" bestFit="1" customWidth="1"/>
    <col min="7" max="7" width="10.5" style="57" customWidth="1"/>
    <col min="8" max="8" width="11" style="57" bestFit="1" customWidth="1"/>
    <col min="9" max="9" width="6.1640625" style="3" customWidth="1"/>
    <col min="10" max="10" width="67.33203125" customWidth="1"/>
    <col min="11" max="14" width="10" customWidth="1"/>
    <col min="15" max="15" width="10" style="56" customWidth="1"/>
    <col min="16" max="16" width="14.6640625" customWidth="1"/>
    <col min="17" max="17" width="6" customWidth="1"/>
    <col min="18" max="19" width="6" style="56" customWidth="1"/>
    <col min="20" max="20" width="8.5" style="56" customWidth="1"/>
    <col min="21" max="21" width="7.33203125" style="56" customWidth="1"/>
    <col min="22" max="23" width="3.1640625" style="6" customWidth="1"/>
    <col min="24" max="24" width="6.83203125" customWidth="1"/>
    <col min="25" max="25" width="13.83203125" bestFit="1" customWidth="1"/>
    <col min="26" max="26" width="6" customWidth="1"/>
    <col min="27" max="27" width="6.6640625" customWidth="1"/>
    <col min="28" max="29" width="7.1640625" style="4" customWidth="1"/>
    <col min="30" max="30" width="6.6640625" customWidth="1"/>
    <col min="31" max="31" width="9.6640625" customWidth="1"/>
    <col min="32" max="33" width="17.1640625" customWidth="1"/>
    <col min="34" max="34" width="3.1640625" style="23" customWidth="1"/>
    <col min="35" max="35" width="7" customWidth="1"/>
    <col min="36" max="36" width="6.83203125" customWidth="1"/>
    <col min="37" max="37" width="13.83203125" bestFit="1" customWidth="1"/>
    <col min="38" max="38" width="6.6640625" customWidth="1"/>
    <col min="39" max="40" width="6.5" style="4" customWidth="1"/>
    <col min="41" max="41" width="7.5" style="4" customWidth="1"/>
    <col min="42" max="42" width="4" customWidth="1"/>
  </cols>
  <sheetData>
    <row r="1" spans="1:42" s="7" customFormat="1" ht="60">
      <c r="A1" s="7" t="s">
        <v>0</v>
      </c>
      <c r="B1" s="72" t="s">
        <v>515</v>
      </c>
      <c r="C1" s="7" t="s">
        <v>1</v>
      </c>
      <c r="D1" s="8" t="s">
        <v>2</v>
      </c>
      <c r="E1" s="8" t="s">
        <v>537</v>
      </c>
      <c r="F1" s="62" t="s">
        <v>508</v>
      </c>
      <c r="G1" s="62" t="s">
        <v>509</v>
      </c>
      <c r="H1" s="62" t="s">
        <v>483</v>
      </c>
      <c r="I1" s="9" t="s">
        <v>3</v>
      </c>
      <c r="J1" s="7" t="s">
        <v>4</v>
      </c>
      <c r="K1" s="7" t="s">
        <v>5</v>
      </c>
      <c r="L1" s="7" t="s">
        <v>638</v>
      </c>
      <c r="M1" s="7" t="s">
        <v>639</v>
      </c>
      <c r="N1" s="7" t="s">
        <v>6</v>
      </c>
      <c r="O1" s="60" t="s">
        <v>538</v>
      </c>
      <c r="P1" s="7" t="s">
        <v>8</v>
      </c>
      <c r="Q1" s="7" t="s">
        <v>9</v>
      </c>
      <c r="R1" s="60" t="s">
        <v>553</v>
      </c>
      <c r="S1" s="60" t="s">
        <v>563</v>
      </c>
      <c r="T1" s="60" t="s">
        <v>566</v>
      </c>
      <c r="U1" s="60" t="s">
        <v>546</v>
      </c>
      <c r="V1" s="10" t="s">
        <v>116</v>
      </c>
      <c r="W1" s="10" t="s">
        <v>507</v>
      </c>
      <c r="X1" s="7" t="s">
        <v>74</v>
      </c>
      <c r="Y1" s="7" t="s">
        <v>104</v>
      </c>
      <c r="Z1" s="7" t="s">
        <v>477</v>
      </c>
      <c r="AA1" s="7" t="s">
        <v>109</v>
      </c>
      <c r="AB1" s="11" t="s">
        <v>103</v>
      </c>
      <c r="AC1" s="7" t="s">
        <v>110</v>
      </c>
      <c r="AD1" s="7" t="s">
        <v>111</v>
      </c>
      <c r="AE1" s="7" t="s">
        <v>182</v>
      </c>
      <c r="AF1" s="7" t="s">
        <v>65</v>
      </c>
      <c r="AG1" s="7" t="s">
        <v>293</v>
      </c>
      <c r="AH1" s="22" t="s">
        <v>190</v>
      </c>
      <c r="AI1" s="7" t="s">
        <v>18</v>
      </c>
      <c r="AJ1" s="7" t="s">
        <v>75</v>
      </c>
      <c r="AK1" s="7" t="s">
        <v>77</v>
      </c>
      <c r="AL1" s="7" t="s">
        <v>92</v>
      </c>
      <c r="AM1" s="11" t="s">
        <v>76</v>
      </c>
      <c r="AN1" s="11" t="s">
        <v>242</v>
      </c>
      <c r="AO1" s="11" t="s">
        <v>237</v>
      </c>
      <c r="AP1" s="7" t="s">
        <v>127</v>
      </c>
    </row>
    <row r="2" spans="1:42">
      <c r="A2" s="47" t="s">
        <v>496</v>
      </c>
      <c r="B2" s="47"/>
      <c r="C2" t="s">
        <v>23</v>
      </c>
      <c r="E2" s="57">
        <f t="shared" ref="E2:E33" si="0">SUMPRODUCT((Vers=$A2)*Montant_transfere)</f>
        <v>0</v>
      </c>
      <c r="F2" s="57">
        <f>SUMPRODUCT((Vers=$A2)*IRA_en_sus)</f>
        <v>0</v>
      </c>
      <c r="J2" s="46"/>
      <c r="K2" s="87">
        <v>36495</v>
      </c>
      <c r="L2" s="87">
        <v>36495</v>
      </c>
      <c r="M2" s="87">
        <v>36495</v>
      </c>
      <c r="N2" s="87">
        <v>41973</v>
      </c>
      <c r="O2" s="78">
        <f>IFERROR(INDEX(refinancements!$G$2:$G$105,MATCH($A2,De,0)),"")</f>
        <v>38193</v>
      </c>
      <c r="Q2" t="s">
        <v>13</v>
      </c>
      <c r="R2" s="56">
        <f t="shared" ref="R2:R33" si="1">YEAR(K2)</f>
        <v>1999</v>
      </c>
      <c r="S2" s="56">
        <f>YEAR(M2)</f>
        <v>1999</v>
      </c>
      <c r="T2" s="91">
        <f>(M2-DATE(S2,1,1))/365*(ROUND(D2,-3)-E2)</f>
        <v>0</v>
      </c>
      <c r="U2" s="80" t="str">
        <f t="shared" ref="U2:U33" si="2">IF(Q2="1A",IF(P2="Livret A","Livr_A",IF(SUMPRODUCT((Vers=$A2)*De_non_1A)&gt;0,IF(H2&gt;1,"Restr_aidé","Restr_sec"),"Non_st")),"Struct")</f>
        <v>Non_st</v>
      </c>
      <c r="V2" s="6">
        <v>0</v>
      </c>
      <c r="X2" s="4"/>
    </row>
    <row r="3" spans="1:42">
      <c r="A3" s="47" t="s">
        <v>540</v>
      </c>
      <c r="B3" s="47"/>
      <c r="C3" t="s">
        <v>11</v>
      </c>
      <c r="D3" s="57">
        <v>1524490.17</v>
      </c>
      <c r="E3" s="57">
        <f t="shared" si="0"/>
        <v>0</v>
      </c>
      <c r="F3" s="57">
        <f>SUMPRODUCT((Vers=$A3)*IRA_en_sus)</f>
        <v>0</v>
      </c>
      <c r="I3" s="3">
        <v>15</v>
      </c>
      <c r="J3" s="46" t="s">
        <v>541</v>
      </c>
      <c r="K3" s="5">
        <v>36495</v>
      </c>
      <c r="L3" s="5">
        <v>36495</v>
      </c>
      <c r="M3" s="5">
        <v>36495</v>
      </c>
      <c r="N3" s="5">
        <v>41973</v>
      </c>
      <c r="O3" s="78" t="str">
        <f>IFERROR(INDEX(refinancements!$G$2:$G$105,MATCH($A3,De,0)),"")</f>
        <v/>
      </c>
      <c r="P3" t="s">
        <v>547</v>
      </c>
      <c r="Q3" t="s">
        <v>13</v>
      </c>
      <c r="R3" s="56">
        <f t="shared" si="1"/>
        <v>1999</v>
      </c>
      <c r="S3" s="56">
        <f t="shared" ref="S3:S66" si="3">YEAR(M3)</f>
        <v>1999</v>
      </c>
      <c r="T3" s="91">
        <f t="shared" ref="T3:T66" si="4">(M3-DATE(S3,1,1))/365*(ROUND(D3,-3)-E3)</f>
        <v>1394564.3835616438</v>
      </c>
      <c r="U3" s="80" t="str">
        <f t="shared" si="2"/>
        <v>Non_st</v>
      </c>
      <c r="V3" s="6">
        <v>1</v>
      </c>
      <c r="X3" s="4"/>
      <c r="Y3" t="s">
        <v>66</v>
      </c>
      <c r="AA3">
        <v>1</v>
      </c>
      <c r="AB3" s="4">
        <v>4.4999999999999997E-3</v>
      </c>
    </row>
    <row r="4" spans="1:42">
      <c r="A4" s="47" t="s">
        <v>10</v>
      </c>
      <c r="B4" s="47"/>
      <c r="C4" t="s">
        <v>11</v>
      </c>
      <c r="D4" s="57">
        <v>609796.06999999995</v>
      </c>
      <c r="E4" s="57">
        <f t="shared" si="0"/>
        <v>0</v>
      </c>
      <c r="F4" s="57">
        <f>SUMPRODUCT((Vers=$A4)*IRA_en_sus)</f>
        <v>0</v>
      </c>
      <c r="I4" s="3">
        <v>15</v>
      </c>
      <c r="J4" s="46" t="s">
        <v>543</v>
      </c>
      <c r="K4" s="5">
        <v>36950</v>
      </c>
      <c r="L4" s="5">
        <v>36950</v>
      </c>
      <c r="M4" s="5">
        <v>36950</v>
      </c>
      <c r="N4" s="5">
        <v>42429</v>
      </c>
      <c r="O4" s="78" t="str">
        <f>IFERROR(INDEX(refinancements!$G$2:$G$105,MATCH($A4,De,0)),"")</f>
        <v/>
      </c>
      <c r="P4" t="s">
        <v>12</v>
      </c>
      <c r="Q4" t="s">
        <v>13</v>
      </c>
      <c r="R4" s="56">
        <f t="shared" si="1"/>
        <v>2001</v>
      </c>
      <c r="S4" s="56">
        <f t="shared" si="3"/>
        <v>2001</v>
      </c>
      <c r="T4" s="91">
        <f t="shared" si="4"/>
        <v>96931.506849315076</v>
      </c>
      <c r="U4" s="80" t="str">
        <f t="shared" si="2"/>
        <v>Non_st</v>
      </c>
      <c r="V4" s="6">
        <v>1</v>
      </c>
      <c r="X4" s="4">
        <v>4.99E-2</v>
      </c>
      <c r="Y4" s="4"/>
      <c r="Z4" s="4"/>
    </row>
    <row r="5" spans="1:42">
      <c r="A5" s="46" t="s">
        <v>16</v>
      </c>
      <c r="C5" t="s">
        <v>17</v>
      </c>
      <c r="D5" s="57">
        <v>11859925.98</v>
      </c>
      <c r="E5" s="57">
        <f t="shared" si="0"/>
        <v>11859925.98</v>
      </c>
      <c r="F5" s="57">
        <f t="shared" ref="F5:F35" si="5">SUMPRODUCT((Vers=A5)*IRA_en_sus)</f>
        <v>0</v>
      </c>
      <c r="I5" s="3">
        <v>19</v>
      </c>
      <c r="J5" s="46" t="s">
        <v>19</v>
      </c>
      <c r="K5" s="5">
        <v>37243</v>
      </c>
      <c r="L5" s="5">
        <v>37189</v>
      </c>
      <c r="M5" s="5">
        <v>37189</v>
      </c>
      <c r="N5" s="5">
        <v>44129</v>
      </c>
      <c r="O5" s="78">
        <f>IFERROR(INDEX(refinancements!$G$2:$G$105,MATCH($A5,De,0)),"")</f>
        <v>38773</v>
      </c>
      <c r="P5" t="s">
        <v>20</v>
      </c>
      <c r="Q5" t="s">
        <v>21</v>
      </c>
      <c r="R5" s="56">
        <f t="shared" si="1"/>
        <v>2001</v>
      </c>
      <c r="S5" s="56">
        <f t="shared" si="3"/>
        <v>2001</v>
      </c>
      <c r="T5" s="91">
        <f t="shared" si="4"/>
        <v>60.229972602375973</v>
      </c>
      <c r="U5" s="80" t="str">
        <f t="shared" si="2"/>
        <v>Struct</v>
      </c>
      <c r="V5" s="6">
        <v>1</v>
      </c>
      <c r="X5" s="4">
        <v>3.0499999999999999E-2</v>
      </c>
      <c r="Y5" s="4"/>
      <c r="Z5" s="4"/>
      <c r="AF5" t="s">
        <v>294</v>
      </c>
      <c r="AG5" t="s">
        <v>295</v>
      </c>
      <c r="AH5" s="23" t="s">
        <v>191</v>
      </c>
      <c r="AI5" s="4">
        <v>7.4999999999999997E-3</v>
      </c>
      <c r="AJ5" s="4">
        <v>0.05</v>
      </c>
    </row>
    <row r="6" spans="1:42">
      <c r="A6" s="47" t="s">
        <v>22</v>
      </c>
      <c r="B6" s="47"/>
      <c r="C6" t="s">
        <v>23</v>
      </c>
      <c r="D6" s="57">
        <v>3048980.34</v>
      </c>
      <c r="E6" s="57">
        <f t="shared" si="0"/>
        <v>0</v>
      </c>
      <c r="F6" s="57">
        <f t="shared" si="5"/>
        <v>0</v>
      </c>
      <c r="I6" s="3">
        <v>20</v>
      </c>
      <c r="J6" s="46" t="s">
        <v>452</v>
      </c>
      <c r="K6" s="5">
        <v>37221</v>
      </c>
      <c r="L6" s="5">
        <v>37221</v>
      </c>
      <c r="M6" s="5">
        <v>37221</v>
      </c>
      <c r="N6" s="5">
        <v>44526</v>
      </c>
      <c r="O6" s="78">
        <f>IFERROR(INDEX(refinancements!$G$2:$G$105,MATCH($A6,De,0)),"")</f>
        <v>38777</v>
      </c>
      <c r="P6" t="s">
        <v>24</v>
      </c>
      <c r="Q6" t="s">
        <v>25</v>
      </c>
      <c r="R6" s="56">
        <f t="shared" si="1"/>
        <v>2001</v>
      </c>
      <c r="S6" s="56">
        <f t="shared" si="3"/>
        <v>2001</v>
      </c>
      <c r="T6" s="91">
        <f t="shared" si="4"/>
        <v>2748276.7123287669</v>
      </c>
      <c r="U6" s="80" t="str">
        <f t="shared" si="2"/>
        <v>Struct</v>
      </c>
      <c r="V6" s="6">
        <v>1</v>
      </c>
      <c r="X6" s="4">
        <v>4.2900000000000001E-2</v>
      </c>
      <c r="Y6" s="4"/>
      <c r="Z6" s="4"/>
    </row>
    <row r="7" spans="1:42">
      <c r="A7" s="47" t="s">
        <v>33</v>
      </c>
      <c r="B7" s="47"/>
      <c r="C7" t="s">
        <v>34</v>
      </c>
      <c r="D7" s="57">
        <v>13097112.84</v>
      </c>
      <c r="E7" s="57">
        <f t="shared" si="0"/>
        <v>0</v>
      </c>
      <c r="F7" s="57">
        <f t="shared" si="5"/>
        <v>0</v>
      </c>
      <c r="I7" s="3">
        <v>15</v>
      </c>
      <c r="J7" s="46" t="s">
        <v>562</v>
      </c>
      <c r="K7" s="5">
        <v>37209</v>
      </c>
      <c r="L7" s="5">
        <v>37361</v>
      </c>
      <c r="M7" s="5">
        <v>37361</v>
      </c>
      <c r="N7" s="5">
        <v>42843</v>
      </c>
      <c r="O7" s="78" t="str">
        <f>IFERROR(INDEX(refinancements!$G$2:$G$105,MATCH($A7,De,0)),"")</f>
        <v/>
      </c>
      <c r="P7" t="s">
        <v>35</v>
      </c>
      <c r="Q7" t="s">
        <v>36</v>
      </c>
      <c r="R7" s="56">
        <f t="shared" si="1"/>
        <v>2001</v>
      </c>
      <c r="S7" s="56">
        <f t="shared" si="3"/>
        <v>2002</v>
      </c>
      <c r="T7" s="91">
        <f t="shared" si="4"/>
        <v>3731747.9452054794</v>
      </c>
      <c r="U7" s="80" t="str">
        <f t="shared" si="2"/>
        <v>Struct</v>
      </c>
      <c r="V7" s="6">
        <v>1</v>
      </c>
      <c r="X7" s="4">
        <v>3.5000000000000003E-2</v>
      </c>
      <c r="Y7" s="4"/>
      <c r="Z7" s="4"/>
      <c r="AF7" t="s">
        <v>37</v>
      </c>
      <c r="AH7" s="23" t="s">
        <v>192</v>
      </c>
      <c r="AI7" s="4">
        <v>6.5000000000000002E-2</v>
      </c>
      <c r="AK7" t="s">
        <v>37</v>
      </c>
      <c r="AL7">
        <v>1</v>
      </c>
      <c r="AM7" s="4">
        <v>0</v>
      </c>
    </row>
    <row r="8" spans="1:42">
      <c r="A8" s="47" t="s">
        <v>28</v>
      </c>
      <c r="B8" s="47"/>
      <c r="C8" t="s">
        <v>7</v>
      </c>
      <c r="D8" s="57">
        <v>2137796</v>
      </c>
      <c r="E8" s="57">
        <f t="shared" si="0"/>
        <v>0</v>
      </c>
      <c r="F8" s="57">
        <f t="shared" si="5"/>
        <v>0</v>
      </c>
      <c r="I8" s="3">
        <v>20</v>
      </c>
      <c r="J8" s="46" t="s">
        <v>29</v>
      </c>
      <c r="K8" s="5">
        <v>37288</v>
      </c>
      <c r="L8" s="5">
        <v>37288</v>
      </c>
      <c r="M8" s="5">
        <v>37288</v>
      </c>
      <c r="N8" s="5">
        <v>44593</v>
      </c>
      <c r="O8" s="78" t="str">
        <f>IFERROR(INDEX(refinancements!$G$2:$G$105,MATCH($A8,De,0)),"")</f>
        <v/>
      </c>
      <c r="P8" t="s">
        <v>30</v>
      </c>
      <c r="Q8" t="s">
        <v>13</v>
      </c>
      <c r="R8" s="56">
        <f t="shared" si="1"/>
        <v>2002</v>
      </c>
      <c r="S8" s="56">
        <f t="shared" si="3"/>
        <v>2002</v>
      </c>
      <c r="T8" s="91">
        <f t="shared" si="4"/>
        <v>181583.56164383562</v>
      </c>
      <c r="U8" s="80" t="str">
        <f t="shared" si="2"/>
        <v>Livr_A</v>
      </c>
      <c r="V8" s="6">
        <v>1</v>
      </c>
      <c r="Y8" t="s">
        <v>30</v>
      </c>
      <c r="AA8">
        <v>1</v>
      </c>
      <c r="AB8" s="4">
        <v>0</v>
      </c>
    </row>
    <row r="9" spans="1:42">
      <c r="A9" s="47" t="s">
        <v>31</v>
      </c>
      <c r="B9" s="47"/>
      <c r="C9" t="s">
        <v>7</v>
      </c>
      <c r="D9" s="57">
        <v>4722409</v>
      </c>
      <c r="E9" s="57">
        <f t="shared" si="0"/>
        <v>0</v>
      </c>
      <c r="F9" s="57">
        <f t="shared" si="5"/>
        <v>0</v>
      </c>
      <c r="I9" s="3">
        <v>20</v>
      </c>
      <c r="J9" s="46" t="s">
        <v>32</v>
      </c>
      <c r="K9" s="5">
        <v>37347</v>
      </c>
      <c r="L9" s="5">
        <v>37347</v>
      </c>
      <c r="M9" s="5">
        <v>37347</v>
      </c>
      <c r="N9" s="5">
        <v>44652</v>
      </c>
      <c r="O9" s="78" t="str">
        <f>IFERROR(INDEX(refinancements!$G$2:$G$105,MATCH($A9,De,0)),"")</f>
        <v/>
      </c>
      <c r="P9" t="s">
        <v>30</v>
      </c>
      <c r="Q9" t="s">
        <v>13</v>
      </c>
      <c r="R9" s="56">
        <f t="shared" si="1"/>
        <v>2002</v>
      </c>
      <c r="S9" s="56">
        <f t="shared" si="3"/>
        <v>2002</v>
      </c>
      <c r="T9" s="91">
        <f t="shared" si="4"/>
        <v>1164328.7671232875</v>
      </c>
      <c r="U9" s="80" t="str">
        <f t="shared" si="2"/>
        <v>Livr_A</v>
      </c>
      <c r="V9" s="6">
        <v>1</v>
      </c>
      <c r="Y9" t="s">
        <v>30</v>
      </c>
      <c r="AA9">
        <v>1</v>
      </c>
      <c r="AB9" s="4">
        <v>1.2E-2</v>
      </c>
    </row>
    <row r="10" spans="1:42">
      <c r="A10" s="47" t="s">
        <v>43</v>
      </c>
      <c r="B10" s="47"/>
      <c r="C10" t="s">
        <v>23</v>
      </c>
      <c r="D10" s="57">
        <v>4603414.62</v>
      </c>
      <c r="E10" s="57">
        <f t="shared" si="0"/>
        <v>0</v>
      </c>
      <c r="F10" s="57">
        <f t="shared" si="5"/>
        <v>0</v>
      </c>
      <c r="I10" s="3">
        <v>19.25</v>
      </c>
      <c r="J10" s="46" t="s">
        <v>44</v>
      </c>
      <c r="K10" s="5">
        <v>37364</v>
      </c>
      <c r="L10" s="5">
        <v>37377</v>
      </c>
      <c r="M10" s="5">
        <v>37377</v>
      </c>
      <c r="N10" s="5">
        <v>44409</v>
      </c>
      <c r="O10" s="78">
        <f>IFERROR(INDEX(refinancements!$G$2:$G$105,MATCH($A10,De,0)),"")</f>
        <v>38534</v>
      </c>
      <c r="P10" t="s">
        <v>35</v>
      </c>
      <c r="Q10" t="s">
        <v>36</v>
      </c>
      <c r="R10" s="56">
        <f t="shared" si="1"/>
        <v>2002</v>
      </c>
      <c r="S10" s="56">
        <f t="shared" si="3"/>
        <v>2002</v>
      </c>
      <c r="T10" s="91">
        <f t="shared" si="4"/>
        <v>1513315.0684931506</v>
      </c>
      <c r="U10" s="80" t="str">
        <f t="shared" si="2"/>
        <v>Struct</v>
      </c>
      <c r="V10" s="6">
        <v>1</v>
      </c>
      <c r="X10" s="4">
        <v>4.8300000000000003E-2</v>
      </c>
      <c r="Y10" s="4"/>
      <c r="Z10" s="4"/>
      <c r="AF10" t="s">
        <v>45</v>
      </c>
      <c r="AH10" s="23" t="s">
        <v>192</v>
      </c>
      <c r="AI10" s="4">
        <v>7.0000000000000007E-2</v>
      </c>
      <c r="AK10" t="s">
        <v>45</v>
      </c>
      <c r="AL10">
        <v>1</v>
      </c>
      <c r="AM10" s="4">
        <v>2E-3</v>
      </c>
    </row>
    <row r="11" spans="1:42">
      <c r="A11" s="47" t="s">
        <v>46</v>
      </c>
      <c r="B11" s="47"/>
      <c r="C11" t="s">
        <v>23</v>
      </c>
      <c r="D11" s="57">
        <v>12864467.300000001</v>
      </c>
      <c r="E11" s="57">
        <f t="shared" si="0"/>
        <v>0</v>
      </c>
      <c r="F11" s="57">
        <f t="shared" si="5"/>
        <v>0</v>
      </c>
      <c r="I11" s="3">
        <v>19.25</v>
      </c>
      <c r="J11" s="46" t="s">
        <v>44</v>
      </c>
      <c r="K11" s="5">
        <v>37377</v>
      </c>
      <c r="L11" s="5">
        <v>37377</v>
      </c>
      <c r="M11" s="5">
        <v>37377</v>
      </c>
      <c r="N11" s="5">
        <v>44409</v>
      </c>
      <c r="O11" s="78">
        <f>IFERROR(INDEX(refinancements!$G$2:$G$105,MATCH($A11,De,0)),"")</f>
        <v>38087</v>
      </c>
      <c r="P11" t="s">
        <v>35</v>
      </c>
      <c r="Q11" t="s">
        <v>36</v>
      </c>
      <c r="R11" s="56">
        <f t="shared" si="1"/>
        <v>2002</v>
      </c>
      <c r="S11" s="56">
        <f t="shared" si="3"/>
        <v>2002</v>
      </c>
      <c r="T11" s="91">
        <f t="shared" si="4"/>
        <v>4229260.2739726026</v>
      </c>
      <c r="U11" s="80" t="str">
        <f t="shared" si="2"/>
        <v>Struct</v>
      </c>
      <c r="V11" s="6">
        <v>1</v>
      </c>
      <c r="X11" s="4">
        <v>4.8300000000000003E-2</v>
      </c>
      <c r="Y11" s="4"/>
      <c r="Z11" s="4"/>
      <c r="AF11" t="s">
        <v>45</v>
      </c>
      <c r="AH11" s="23" t="s">
        <v>192</v>
      </c>
      <c r="AI11" s="4">
        <v>7.0000000000000007E-2</v>
      </c>
      <c r="AK11" t="s">
        <v>45</v>
      </c>
      <c r="AL11">
        <v>1</v>
      </c>
      <c r="AM11" s="4">
        <v>2E-3</v>
      </c>
    </row>
    <row r="12" spans="1:42">
      <c r="A12" s="47" t="s">
        <v>38</v>
      </c>
      <c r="B12" s="47"/>
      <c r="C12" t="s">
        <v>23</v>
      </c>
      <c r="D12" s="57">
        <v>13276172.539999999</v>
      </c>
      <c r="E12" s="57">
        <f t="shared" si="0"/>
        <v>0</v>
      </c>
      <c r="F12" s="57">
        <f t="shared" si="5"/>
        <v>0</v>
      </c>
      <c r="I12" s="3">
        <v>17</v>
      </c>
      <c r="J12" s="46" t="s">
        <v>39</v>
      </c>
      <c r="K12" s="5">
        <v>37372</v>
      </c>
      <c r="L12" s="5">
        <v>37377</v>
      </c>
      <c r="M12" s="5">
        <v>37377</v>
      </c>
      <c r="N12" s="5">
        <v>43647</v>
      </c>
      <c r="O12" s="78">
        <f>IFERROR(INDEX(refinancements!$G$2:$G$105,MATCH($A12,De,0)),"")</f>
        <v>38087</v>
      </c>
      <c r="P12" t="s">
        <v>40</v>
      </c>
      <c r="Q12" t="s">
        <v>41</v>
      </c>
      <c r="R12" s="56">
        <f t="shared" si="1"/>
        <v>2002</v>
      </c>
      <c r="S12" s="56">
        <f t="shared" si="3"/>
        <v>2002</v>
      </c>
      <c r="T12" s="91">
        <f t="shared" si="4"/>
        <v>4364712.3287671227</v>
      </c>
      <c r="U12" s="80" t="str">
        <f t="shared" si="2"/>
        <v>Struct</v>
      </c>
      <c r="V12" s="6">
        <v>1</v>
      </c>
      <c r="X12" s="4">
        <v>4.9799999999999997E-2</v>
      </c>
      <c r="Y12" s="4"/>
      <c r="Z12" s="4"/>
      <c r="AF12" t="s">
        <v>42</v>
      </c>
      <c r="AH12" s="23" t="s">
        <v>192</v>
      </c>
      <c r="AI12" s="4">
        <v>0.06</v>
      </c>
      <c r="AK12" t="s">
        <v>42</v>
      </c>
      <c r="AL12">
        <v>1</v>
      </c>
      <c r="AM12" s="4">
        <v>2E-3</v>
      </c>
    </row>
    <row r="13" spans="1:42">
      <c r="A13" s="47" t="s">
        <v>51</v>
      </c>
      <c r="B13" s="47"/>
      <c r="C13" t="s">
        <v>23</v>
      </c>
      <c r="D13" s="57">
        <v>5216728.38</v>
      </c>
      <c r="E13" s="57">
        <f t="shared" si="0"/>
        <v>0</v>
      </c>
      <c r="F13" s="57">
        <f t="shared" si="5"/>
        <v>0</v>
      </c>
      <c r="I13" s="3">
        <v>8</v>
      </c>
      <c r="J13" s="46" t="s">
        <v>52</v>
      </c>
      <c r="K13" s="5">
        <v>37372</v>
      </c>
      <c r="L13" s="5">
        <v>37377</v>
      </c>
      <c r="M13" s="5">
        <v>37377</v>
      </c>
      <c r="N13" s="5">
        <v>40330</v>
      </c>
      <c r="O13" s="78">
        <f>IFERROR(INDEX(refinancements!$G$2:$G$105,MATCH($A13,De,0)),"")</f>
        <v>38193</v>
      </c>
      <c r="P13" t="s">
        <v>53</v>
      </c>
      <c r="Q13" t="s">
        <v>54</v>
      </c>
      <c r="R13" s="56">
        <f t="shared" si="1"/>
        <v>2002</v>
      </c>
      <c r="S13" s="56">
        <f t="shared" si="3"/>
        <v>2002</v>
      </c>
      <c r="T13" s="91">
        <f t="shared" si="4"/>
        <v>1715178.0821917807</v>
      </c>
      <c r="U13" s="80" t="str">
        <f t="shared" si="2"/>
        <v>Struct</v>
      </c>
      <c r="V13" s="6">
        <v>1</v>
      </c>
      <c r="Y13" t="s">
        <v>37</v>
      </c>
      <c r="AA13">
        <v>1</v>
      </c>
      <c r="AB13" s="4">
        <v>-2E-3</v>
      </c>
    </row>
    <row r="14" spans="1:42">
      <c r="A14" s="47" t="s">
        <v>47</v>
      </c>
      <c r="B14" s="47"/>
      <c r="C14" t="s">
        <v>23</v>
      </c>
      <c r="D14" s="57">
        <v>9827176.1899999995</v>
      </c>
      <c r="E14" s="57">
        <f t="shared" si="0"/>
        <v>0</v>
      </c>
      <c r="F14" s="57">
        <f t="shared" si="5"/>
        <v>0</v>
      </c>
      <c r="I14" s="3">
        <v>12</v>
      </c>
      <c r="J14" s="46" t="s">
        <v>48</v>
      </c>
      <c r="K14" s="5">
        <v>37372</v>
      </c>
      <c r="L14" s="5">
        <v>37377</v>
      </c>
      <c r="M14" s="5">
        <v>37377</v>
      </c>
      <c r="N14" s="5">
        <v>41760</v>
      </c>
      <c r="O14" s="78">
        <f>IFERROR(INDEX(refinancements!$G$2:$G$105,MATCH($A14,De,0)),"")</f>
        <v>38153</v>
      </c>
      <c r="P14" t="s">
        <v>49</v>
      </c>
      <c r="Q14" t="s">
        <v>50</v>
      </c>
      <c r="R14" s="56">
        <f t="shared" si="1"/>
        <v>2002</v>
      </c>
      <c r="S14" s="56">
        <f t="shared" si="3"/>
        <v>2002</v>
      </c>
      <c r="T14" s="91">
        <f t="shared" si="4"/>
        <v>3230794.5205479451</v>
      </c>
      <c r="U14" s="80" t="str">
        <f t="shared" si="2"/>
        <v>Struct</v>
      </c>
      <c r="V14" s="6">
        <v>2</v>
      </c>
    </row>
    <row r="15" spans="1:42">
      <c r="A15" s="47" t="s">
        <v>26</v>
      </c>
      <c r="B15" s="47"/>
      <c r="C15" t="s">
        <v>7</v>
      </c>
      <c r="D15" s="57">
        <v>2448751.2200000002</v>
      </c>
      <c r="E15" s="57">
        <f t="shared" si="0"/>
        <v>0</v>
      </c>
      <c r="F15" s="57">
        <f t="shared" si="5"/>
        <v>0</v>
      </c>
      <c r="I15" s="3">
        <v>7</v>
      </c>
      <c r="J15" s="46" t="s">
        <v>27</v>
      </c>
      <c r="K15" s="5">
        <v>37281</v>
      </c>
      <c r="L15" s="5">
        <v>37281</v>
      </c>
      <c r="M15" s="5">
        <v>37281</v>
      </c>
      <c r="N15" s="5">
        <v>39838</v>
      </c>
      <c r="O15" s="78" t="str">
        <f>IFERROR(INDEX(refinancements!$G$2:$G$105,MATCH($A15,De,0)),"")</f>
        <v/>
      </c>
      <c r="P15" t="s">
        <v>12</v>
      </c>
      <c r="Q15" t="s">
        <v>13</v>
      </c>
      <c r="R15" s="56">
        <f t="shared" si="1"/>
        <v>2002</v>
      </c>
      <c r="S15" s="56">
        <f t="shared" si="3"/>
        <v>2002</v>
      </c>
      <c r="T15" s="91">
        <f t="shared" si="4"/>
        <v>161030.13698630137</v>
      </c>
      <c r="U15" s="80" t="str">
        <f t="shared" si="2"/>
        <v>Non_st</v>
      </c>
      <c r="V15" s="6">
        <v>1</v>
      </c>
      <c r="X15" s="4">
        <v>5.0999999999999997E-2</v>
      </c>
      <c r="Y15" s="4"/>
      <c r="Z15" s="4"/>
    </row>
    <row r="16" spans="1:42">
      <c r="A16" s="47" t="s">
        <v>55</v>
      </c>
      <c r="B16" s="47"/>
      <c r="C16" t="s">
        <v>7</v>
      </c>
      <c r="D16" s="57">
        <v>1593000</v>
      </c>
      <c r="E16" s="57">
        <f t="shared" si="0"/>
        <v>0</v>
      </c>
      <c r="F16" s="57">
        <f t="shared" si="5"/>
        <v>0</v>
      </c>
      <c r="I16" s="3">
        <v>20</v>
      </c>
      <c r="J16" s="46" t="s">
        <v>56</v>
      </c>
      <c r="K16" s="5">
        <v>37523</v>
      </c>
      <c r="L16" s="5">
        <v>37530</v>
      </c>
      <c r="M16" s="5">
        <v>37530</v>
      </c>
      <c r="N16" s="5">
        <v>37530</v>
      </c>
      <c r="O16" s="78" t="str">
        <f>IFERROR(INDEX(refinancements!$G$2:$G$105,MATCH($A16,De,0)),"")</f>
        <v/>
      </c>
      <c r="P16" t="s">
        <v>30</v>
      </c>
      <c r="Q16" t="s">
        <v>13</v>
      </c>
      <c r="R16" s="56">
        <f t="shared" si="1"/>
        <v>2002</v>
      </c>
      <c r="S16" s="56">
        <f t="shared" si="3"/>
        <v>2002</v>
      </c>
      <c r="T16" s="91">
        <f t="shared" si="4"/>
        <v>1191476.7123287672</v>
      </c>
      <c r="U16" s="80" t="str">
        <f t="shared" si="2"/>
        <v>Livr_A</v>
      </c>
      <c r="V16" s="6">
        <v>1</v>
      </c>
      <c r="Y16" t="s">
        <v>30</v>
      </c>
      <c r="AA16">
        <v>1</v>
      </c>
      <c r="AB16" s="4">
        <v>2.5000000000000001E-3</v>
      </c>
    </row>
    <row r="17" spans="1:42">
      <c r="A17" s="47" t="s">
        <v>59</v>
      </c>
      <c r="B17" s="47"/>
      <c r="C17" t="s">
        <v>7</v>
      </c>
      <c r="D17" s="57">
        <v>4190000</v>
      </c>
      <c r="E17" s="57">
        <f t="shared" si="0"/>
        <v>0</v>
      </c>
      <c r="F17" s="57">
        <f t="shared" si="5"/>
        <v>0</v>
      </c>
      <c r="I17" s="3">
        <v>20</v>
      </c>
      <c r="J17" s="46" t="s">
        <v>32</v>
      </c>
      <c r="K17" s="5">
        <v>37621</v>
      </c>
      <c r="L17" s="5">
        <v>37621</v>
      </c>
      <c r="M17" s="5">
        <v>37621</v>
      </c>
      <c r="N17" s="5">
        <v>44927</v>
      </c>
      <c r="O17" s="78" t="str">
        <f>IFERROR(INDEX(refinancements!$G$2:$G$105,MATCH($A17,De,0)),"")</f>
        <v/>
      </c>
      <c r="P17" t="s">
        <v>30</v>
      </c>
      <c r="Q17" t="s">
        <v>13</v>
      </c>
      <c r="R17" s="56">
        <f t="shared" si="1"/>
        <v>2002</v>
      </c>
      <c r="S17" s="56">
        <f t="shared" si="3"/>
        <v>2002</v>
      </c>
      <c r="T17" s="91">
        <f t="shared" si="4"/>
        <v>4178520.5479452056</v>
      </c>
      <c r="U17" s="80" t="str">
        <f t="shared" si="2"/>
        <v>Livr_A</v>
      </c>
      <c r="V17" s="6">
        <v>1</v>
      </c>
      <c r="Y17" t="s">
        <v>30</v>
      </c>
      <c r="AA17">
        <v>1</v>
      </c>
      <c r="AB17" s="4">
        <v>1.2E-2</v>
      </c>
    </row>
    <row r="18" spans="1:42">
      <c r="A18" s="47" t="s">
        <v>57</v>
      </c>
      <c r="B18" s="47"/>
      <c r="C18" t="s">
        <v>23</v>
      </c>
      <c r="D18" s="57">
        <v>3000000</v>
      </c>
      <c r="E18" s="57">
        <f t="shared" si="0"/>
        <v>0</v>
      </c>
      <c r="F18" s="57">
        <f t="shared" si="5"/>
        <v>0</v>
      </c>
      <c r="I18" s="3">
        <v>20</v>
      </c>
      <c r="J18" s="46" t="s">
        <v>58</v>
      </c>
      <c r="K18" s="5">
        <v>37532</v>
      </c>
      <c r="L18" s="5">
        <v>37533</v>
      </c>
      <c r="M18" s="5">
        <v>37533</v>
      </c>
      <c r="N18" s="5">
        <v>44835</v>
      </c>
      <c r="O18" s="78">
        <f>IFERROR(INDEX(refinancements!$G$2:$G$105,MATCH($A18,De,0)),"")</f>
        <v>38193</v>
      </c>
      <c r="P18" t="s">
        <v>12</v>
      </c>
      <c r="Q18" t="s">
        <v>13</v>
      </c>
      <c r="R18" s="56">
        <f t="shared" si="1"/>
        <v>2002</v>
      </c>
      <c r="S18" s="56">
        <f t="shared" si="3"/>
        <v>2002</v>
      </c>
      <c r="T18" s="91">
        <f t="shared" si="4"/>
        <v>2268493.1506849313</v>
      </c>
      <c r="U18" s="80" t="str">
        <f t="shared" si="2"/>
        <v>Non_st</v>
      </c>
      <c r="V18" s="6">
        <v>1</v>
      </c>
      <c r="W18" s="6">
        <v>1</v>
      </c>
      <c r="X18" s="4">
        <v>4.7500000000000001E-2</v>
      </c>
      <c r="Y18" s="4"/>
      <c r="Z18" s="4"/>
    </row>
    <row r="19" spans="1:42">
      <c r="A19" s="47" t="s">
        <v>78</v>
      </c>
      <c r="B19" s="47"/>
      <c r="C19" t="s">
        <v>23</v>
      </c>
      <c r="D19" s="57">
        <v>4700000</v>
      </c>
      <c r="E19" s="57">
        <f t="shared" si="0"/>
        <v>0</v>
      </c>
      <c r="F19" s="57">
        <f t="shared" si="5"/>
        <v>0</v>
      </c>
      <c r="I19" s="3">
        <v>20</v>
      </c>
      <c r="J19" s="46" t="s">
        <v>68</v>
      </c>
      <c r="K19" s="5">
        <v>37772</v>
      </c>
      <c r="L19" s="5">
        <v>37772</v>
      </c>
      <c r="M19" s="5">
        <v>37772</v>
      </c>
      <c r="N19" s="5">
        <v>45078</v>
      </c>
      <c r="O19" s="78">
        <f>IFERROR(INDEX(refinancements!$G$2:$G$105,MATCH($A19,De,0)),"")</f>
        <v>38443</v>
      </c>
      <c r="P19" t="s">
        <v>40</v>
      </c>
      <c r="Q19" t="s">
        <v>41</v>
      </c>
      <c r="R19" s="56">
        <f t="shared" si="1"/>
        <v>2003</v>
      </c>
      <c r="S19" s="56">
        <f t="shared" si="3"/>
        <v>2003</v>
      </c>
      <c r="T19" s="91">
        <f t="shared" si="4"/>
        <v>1931506.8493150685</v>
      </c>
      <c r="U19" s="80" t="str">
        <f t="shared" si="2"/>
        <v>Struct</v>
      </c>
      <c r="V19" s="6">
        <v>1</v>
      </c>
      <c r="Y19" t="s">
        <v>66</v>
      </c>
      <c r="AA19">
        <v>1</v>
      </c>
      <c r="AB19" s="4">
        <v>4.0000000000000002E-4</v>
      </c>
      <c r="AF19" t="s">
        <v>66</v>
      </c>
      <c r="AH19" s="23" t="s">
        <v>191</v>
      </c>
      <c r="AI19" s="4">
        <v>0.03</v>
      </c>
      <c r="AJ19" s="4">
        <v>4.4400000000000002E-2</v>
      </c>
    </row>
    <row r="20" spans="1:42">
      <c r="A20" s="47" t="s">
        <v>60</v>
      </c>
      <c r="B20" s="47"/>
      <c r="C20" t="s">
        <v>23</v>
      </c>
      <c r="D20" s="57">
        <v>11919139.83</v>
      </c>
      <c r="E20" s="57">
        <f t="shared" si="0"/>
        <v>0</v>
      </c>
      <c r="F20" s="57">
        <f t="shared" si="5"/>
        <v>0</v>
      </c>
      <c r="I20" s="3">
        <v>14</v>
      </c>
      <c r="J20" s="46" t="s">
        <v>453</v>
      </c>
      <c r="K20" s="5">
        <v>37553</v>
      </c>
      <c r="L20" s="5">
        <v>37622</v>
      </c>
      <c r="M20" s="5">
        <v>37622</v>
      </c>
      <c r="N20" s="5">
        <v>42736</v>
      </c>
      <c r="O20" s="78">
        <f>IFERROR(INDEX(refinancements!$G$2:$G$105,MATCH($A20,De,0)),"")</f>
        <v>39350</v>
      </c>
      <c r="P20" t="s">
        <v>35</v>
      </c>
      <c r="Q20" t="s">
        <v>36</v>
      </c>
      <c r="R20" s="56">
        <f t="shared" si="1"/>
        <v>2002</v>
      </c>
      <c r="S20" s="56">
        <f t="shared" si="3"/>
        <v>2003</v>
      </c>
      <c r="T20" s="91">
        <f t="shared" si="4"/>
        <v>0</v>
      </c>
      <c r="U20" s="80" t="str">
        <f t="shared" si="2"/>
        <v>Struct</v>
      </c>
      <c r="V20" s="6">
        <v>1</v>
      </c>
      <c r="Y20" t="s">
        <v>66</v>
      </c>
      <c r="AA20">
        <v>1</v>
      </c>
      <c r="AB20" s="4">
        <v>0</v>
      </c>
      <c r="AF20" t="s">
        <v>37</v>
      </c>
      <c r="AH20" s="23" t="s">
        <v>192</v>
      </c>
      <c r="AI20" s="4">
        <v>7.0000000000000007E-2</v>
      </c>
      <c r="AK20" t="s">
        <v>37</v>
      </c>
      <c r="AL20">
        <v>1</v>
      </c>
      <c r="AM20" s="4">
        <v>0</v>
      </c>
    </row>
    <row r="21" spans="1:42">
      <c r="A21" s="47" t="s">
        <v>64</v>
      </c>
      <c r="B21" s="47"/>
      <c r="C21" t="s">
        <v>23</v>
      </c>
      <c r="D21" s="57">
        <v>8404911.75</v>
      </c>
      <c r="E21" s="57">
        <f t="shared" si="0"/>
        <v>0</v>
      </c>
      <c r="F21" s="57">
        <f t="shared" si="5"/>
        <v>0</v>
      </c>
      <c r="I21" s="3">
        <v>15</v>
      </c>
      <c r="J21" s="46" t="s">
        <v>67</v>
      </c>
      <c r="K21" s="5">
        <v>37566</v>
      </c>
      <c r="L21" s="5">
        <v>37681</v>
      </c>
      <c r="M21" s="5">
        <v>37681</v>
      </c>
      <c r="N21" s="5">
        <v>43160</v>
      </c>
      <c r="O21" s="78">
        <f>IFERROR(INDEX(refinancements!$G$2:$G$105,MATCH($A21,De,0)),"")</f>
        <v>38443</v>
      </c>
      <c r="P21" t="s">
        <v>40</v>
      </c>
      <c r="Q21" t="s">
        <v>41</v>
      </c>
      <c r="R21" s="56">
        <f t="shared" si="1"/>
        <v>2002</v>
      </c>
      <c r="S21" s="56">
        <f t="shared" si="3"/>
        <v>2003</v>
      </c>
      <c r="T21" s="91">
        <f t="shared" si="4"/>
        <v>1358616.4383561644</v>
      </c>
      <c r="U21" s="80" t="str">
        <f t="shared" si="2"/>
        <v>Struct</v>
      </c>
      <c r="V21" s="6">
        <v>1</v>
      </c>
      <c r="Y21" t="s">
        <v>66</v>
      </c>
      <c r="AA21">
        <v>1</v>
      </c>
      <c r="AB21" s="4">
        <v>5.0000000000000001E-4</v>
      </c>
      <c r="AF21" t="s">
        <v>66</v>
      </c>
      <c r="AH21" s="23" t="s">
        <v>191</v>
      </c>
      <c r="AI21" s="4">
        <v>0.03</v>
      </c>
      <c r="AJ21" s="4">
        <v>4.5499999999999999E-2</v>
      </c>
    </row>
    <row r="22" spans="1:42">
      <c r="A22" s="47" t="s">
        <v>71</v>
      </c>
      <c r="B22" s="47"/>
      <c r="C22" t="s">
        <v>23</v>
      </c>
      <c r="D22" s="57">
        <v>2506491.5</v>
      </c>
      <c r="E22" s="57">
        <f t="shared" si="0"/>
        <v>0</v>
      </c>
      <c r="F22" s="57">
        <f t="shared" si="5"/>
        <v>0</v>
      </c>
      <c r="I22" s="3">
        <v>8</v>
      </c>
      <c r="J22" s="46" t="s">
        <v>67</v>
      </c>
      <c r="K22" s="5">
        <v>37551</v>
      </c>
      <c r="L22" s="5">
        <v>37742</v>
      </c>
      <c r="M22" s="5">
        <v>37742</v>
      </c>
      <c r="N22" s="5">
        <v>40664</v>
      </c>
      <c r="O22" s="78">
        <f>IFERROR(INDEX(refinancements!$G$2:$G$105,MATCH($A22,De,0)),"")</f>
        <v>38443</v>
      </c>
      <c r="P22" t="s">
        <v>40</v>
      </c>
      <c r="Q22" t="s">
        <v>41</v>
      </c>
      <c r="R22" s="56">
        <f t="shared" si="1"/>
        <v>2002</v>
      </c>
      <c r="S22" s="56">
        <f t="shared" si="3"/>
        <v>2003</v>
      </c>
      <c r="T22" s="91">
        <f t="shared" si="4"/>
        <v>823890.41095890407</v>
      </c>
      <c r="U22" s="80" t="str">
        <f t="shared" si="2"/>
        <v>Struct</v>
      </c>
      <c r="V22" s="6">
        <v>1</v>
      </c>
      <c r="Y22" t="s">
        <v>66</v>
      </c>
      <c r="AA22">
        <v>1</v>
      </c>
      <c r="AB22" s="4">
        <v>5.0000000000000001E-4</v>
      </c>
      <c r="AF22" t="s">
        <v>66</v>
      </c>
      <c r="AH22" s="23" t="s">
        <v>191</v>
      </c>
      <c r="AI22" s="4">
        <v>0.03</v>
      </c>
      <c r="AJ22" s="4">
        <v>4.5499999999999999E-2</v>
      </c>
    </row>
    <row r="23" spans="1:42">
      <c r="A23" s="47" t="s">
        <v>72</v>
      </c>
      <c r="B23" s="47"/>
      <c r="C23" t="s">
        <v>23</v>
      </c>
      <c r="D23" s="57">
        <v>10998754.630000001</v>
      </c>
      <c r="E23" s="57">
        <f t="shared" si="0"/>
        <v>0</v>
      </c>
      <c r="F23" s="57">
        <f t="shared" si="5"/>
        <v>0</v>
      </c>
      <c r="I23" s="3">
        <v>20</v>
      </c>
      <c r="J23" s="46" t="s">
        <v>73</v>
      </c>
      <c r="K23" s="5">
        <v>37735</v>
      </c>
      <c r="L23" s="5">
        <v>37756</v>
      </c>
      <c r="M23" s="5">
        <v>37756</v>
      </c>
      <c r="N23" s="5">
        <v>45323</v>
      </c>
      <c r="O23" s="78">
        <f>IFERROR(INDEX(refinancements!$G$2:$G$105,MATCH($A23,De,0)),"")</f>
        <v>39539</v>
      </c>
      <c r="P23" t="s">
        <v>35</v>
      </c>
      <c r="Q23" t="s">
        <v>36</v>
      </c>
      <c r="R23" s="56">
        <f t="shared" si="1"/>
        <v>2003</v>
      </c>
      <c r="S23" s="56">
        <f t="shared" si="3"/>
        <v>2003</v>
      </c>
      <c r="T23" s="91">
        <f t="shared" si="4"/>
        <v>4037989.0410958901</v>
      </c>
      <c r="U23" s="80" t="str">
        <f t="shared" si="2"/>
        <v>Struct</v>
      </c>
      <c r="V23" s="6">
        <v>1</v>
      </c>
      <c r="X23" s="4">
        <v>3.95E-2</v>
      </c>
      <c r="AF23" t="s">
        <v>37</v>
      </c>
      <c r="AH23" s="23" t="s">
        <v>192</v>
      </c>
      <c r="AI23" s="4">
        <v>6.5000000000000002E-2</v>
      </c>
      <c r="AK23" t="s">
        <v>37</v>
      </c>
      <c r="AL23">
        <v>1</v>
      </c>
      <c r="AM23" s="4">
        <v>5.9999999999999995E-4</v>
      </c>
      <c r="AP23" t="s">
        <v>625</v>
      </c>
    </row>
    <row r="24" spans="1:42">
      <c r="A24" s="47" t="s">
        <v>101</v>
      </c>
      <c r="B24" s="47"/>
      <c r="C24" t="s">
        <v>23</v>
      </c>
      <c r="D24" s="57">
        <v>8000000</v>
      </c>
      <c r="E24" s="57">
        <f t="shared" si="0"/>
        <v>0</v>
      </c>
      <c r="F24" s="57">
        <f t="shared" si="5"/>
        <v>0</v>
      </c>
      <c r="I24" s="3">
        <v>21</v>
      </c>
      <c r="J24" s="46" t="s">
        <v>102</v>
      </c>
      <c r="K24" s="5">
        <v>37748</v>
      </c>
      <c r="L24" s="5">
        <v>38106</v>
      </c>
      <c r="M24" s="5">
        <v>38106</v>
      </c>
      <c r="N24" s="5">
        <v>45413</v>
      </c>
      <c r="O24" s="78">
        <f>IFERROR(INDEX(refinancements!$G$2:$G$105,MATCH($A24,De,0)),"")</f>
        <v>39203</v>
      </c>
      <c r="P24" t="s">
        <v>40</v>
      </c>
      <c r="Q24" t="s">
        <v>41</v>
      </c>
      <c r="R24" s="56">
        <f t="shared" si="1"/>
        <v>2003</v>
      </c>
      <c r="S24" s="56">
        <f t="shared" si="3"/>
        <v>2004</v>
      </c>
      <c r="T24" s="91">
        <f t="shared" si="4"/>
        <v>2608219.1780821919</v>
      </c>
      <c r="U24" s="80" t="str">
        <f t="shared" si="2"/>
        <v>Struct</v>
      </c>
      <c r="V24" s="6">
        <v>1</v>
      </c>
      <c r="X24" s="4">
        <v>4.0399999999999998E-2</v>
      </c>
      <c r="AF24" t="s">
        <v>66</v>
      </c>
      <c r="AH24" s="23" t="s">
        <v>192</v>
      </c>
      <c r="AI24" s="4">
        <v>5.5E-2</v>
      </c>
      <c r="AK24" t="s">
        <v>66</v>
      </c>
      <c r="AL24">
        <v>1</v>
      </c>
      <c r="AM24" s="4">
        <v>6.9999999999999999E-4</v>
      </c>
    </row>
    <row r="25" spans="1:42">
      <c r="A25" s="47" t="s">
        <v>79</v>
      </c>
      <c r="B25" s="47"/>
      <c r="C25" t="s">
        <v>17</v>
      </c>
      <c r="D25" s="57">
        <v>842000</v>
      </c>
      <c r="E25" s="57">
        <f t="shared" si="0"/>
        <v>0</v>
      </c>
      <c r="F25" s="57">
        <f t="shared" si="5"/>
        <v>0</v>
      </c>
      <c r="I25" s="3">
        <v>20</v>
      </c>
      <c r="J25" s="46" t="s">
        <v>80</v>
      </c>
      <c r="K25" s="5">
        <v>37802</v>
      </c>
      <c r="L25" s="5">
        <v>37803</v>
      </c>
      <c r="M25" s="5">
        <v>37803</v>
      </c>
      <c r="N25" s="5">
        <v>45108</v>
      </c>
      <c r="O25" s="78">
        <f>IFERROR(INDEX(refinancements!$G$2:$G$105,MATCH($A25,De,0)),"")</f>
        <v>38773</v>
      </c>
      <c r="P25" t="s">
        <v>35</v>
      </c>
      <c r="Q25" t="s">
        <v>36</v>
      </c>
      <c r="R25" s="56">
        <f t="shared" si="1"/>
        <v>2003</v>
      </c>
      <c r="S25" s="56">
        <f t="shared" si="3"/>
        <v>2003</v>
      </c>
      <c r="T25" s="91">
        <f t="shared" si="4"/>
        <v>417539.72602739726</v>
      </c>
      <c r="U25" s="80" t="str">
        <f t="shared" si="2"/>
        <v>Struct</v>
      </c>
      <c r="V25" s="6">
        <v>1</v>
      </c>
      <c r="X25" s="4">
        <v>3.2899999999999999E-2</v>
      </c>
      <c r="AF25" t="s">
        <v>37</v>
      </c>
      <c r="AH25" s="23" t="s">
        <v>192</v>
      </c>
      <c r="AI25" s="4">
        <v>5.5E-2</v>
      </c>
      <c r="AK25" t="s">
        <v>37</v>
      </c>
      <c r="AL25">
        <v>1</v>
      </c>
      <c r="AM25" s="4">
        <v>0</v>
      </c>
    </row>
    <row r="26" spans="1:42">
      <c r="A26" s="47" t="s">
        <v>81</v>
      </c>
      <c r="B26" s="47"/>
      <c r="C26" t="s">
        <v>17</v>
      </c>
      <c r="D26" s="57">
        <v>5000000</v>
      </c>
      <c r="E26" s="57">
        <f t="shared" si="0"/>
        <v>0</v>
      </c>
      <c r="F26" s="57">
        <f t="shared" si="5"/>
        <v>0</v>
      </c>
      <c r="I26" s="3">
        <v>0.5</v>
      </c>
      <c r="J26" s="46" t="s">
        <v>82</v>
      </c>
      <c r="K26" s="5">
        <v>37823</v>
      </c>
      <c r="L26" s="5">
        <v>37827</v>
      </c>
      <c r="M26" s="5">
        <v>37827</v>
      </c>
      <c r="N26" s="5">
        <v>37980</v>
      </c>
      <c r="O26" s="78" t="str">
        <f>IFERROR(INDEX(refinancements!$G$2:$G$105,MATCH($A26,De,0)),"")</f>
        <v/>
      </c>
      <c r="P26" t="s">
        <v>83</v>
      </c>
      <c r="Q26" t="s">
        <v>13</v>
      </c>
      <c r="R26" s="56">
        <f t="shared" si="1"/>
        <v>2003</v>
      </c>
      <c r="S26" s="56">
        <f t="shared" si="3"/>
        <v>2003</v>
      </c>
      <c r="T26" s="91">
        <f t="shared" si="4"/>
        <v>2808219.1780821919</v>
      </c>
      <c r="U26" s="80" t="str">
        <f t="shared" si="2"/>
        <v>Non_st</v>
      </c>
      <c r="V26" s="6">
        <v>1</v>
      </c>
      <c r="Y26" t="s">
        <v>42</v>
      </c>
      <c r="AA26">
        <v>1</v>
      </c>
      <c r="AB26" s="4">
        <v>1E-3</v>
      </c>
    </row>
    <row r="27" spans="1:42">
      <c r="A27" s="47" t="s">
        <v>84</v>
      </c>
      <c r="B27" s="47"/>
      <c r="C27" t="s">
        <v>17</v>
      </c>
      <c r="D27" s="57">
        <v>959000</v>
      </c>
      <c r="E27" s="57">
        <f t="shared" si="0"/>
        <v>0</v>
      </c>
      <c r="F27" s="57">
        <f t="shared" si="5"/>
        <v>0</v>
      </c>
      <c r="I27" s="3">
        <v>3</v>
      </c>
      <c r="J27" s="46" t="s">
        <v>85</v>
      </c>
      <c r="K27" s="5">
        <v>37865</v>
      </c>
      <c r="L27" s="5">
        <v>37865</v>
      </c>
      <c r="M27" s="5">
        <v>37865</v>
      </c>
      <c r="N27" s="5">
        <v>38961</v>
      </c>
      <c r="O27" s="78" t="str">
        <f>IFERROR(INDEX(refinancements!$G$2:$G$105,MATCH($A27,De,0)),"")</f>
        <v/>
      </c>
      <c r="P27" t="s">
        <v>12</v>
      </c>
      <c r="Q27" t="s">
        <v>13</v>
      </c>
      <c r="R27" s="56">
        <f t="shared" si="1"/>
        <v>2003</v>
      </c>
      <c r="S27" s="56">
        <f t="shared" si="3"/>
        <v>2003</v>
      </c>
      <c r="T27" s="91">
        <f t="shared" si="4"/>
        <v>638457.53424657544</v>
      </c>
      <c r="U27" s="80" t="str">
        <f t="shared" si="2"/>
        <v>Non_st</v>
      </c>
      <c r="V27" s="6">
        <v>1</v>
      </c>
      <c r="W27" s="6">
        <v>1</v>
      </c>
      <c r="X27" s="4">
        <v>2.9100000000000001E-2</v>
      </c>
    </row>
    <row r="28" spans="1:42">
      <c r="A28" s="47" t="s">
        <v>61</v>
      </c>
      <c r="B28" s="47"/>
      <c r="C28" t="s">
        <v>62</v>
      </c>
      <c r="D28" s="57">
        <v>838469.6</v>
      </c>
      <c r="E28" s="57">
        <f t="shared" si="0"/>
        <v>0</v>
      </c>
      <c r="F28" s="57">
        <f t="shared" si="5"/>
        <v>0</v>
      </c>
      <c r="I28" s="3">
        <v>0.08</v>
      </c>
      <c r="J28" s="46" t="s">
        <v>63</v>
      </c>
      <c r="K28" s="5">
        <v>37622</v>
      </c>
      <c r="L28" s="5">
        <v>37622</v>
      </c>
      <c r="M28" s="5">
        <v>37622</v>
      </c>
      <c r="N28" s="5">
        <v>37666</v>
      </c>
      <c r="O28" s="78" t="str">
        <f>IFERROR(INDEX(refinancements!$G$2:$G$105,MATCH($A28,De,0)),"")</f>
        <v/>
      </c>
      <c r="P28" t="s">
        <v>12</v>
      </c>
      <c r="Q28" t="s">
        <v>13</v>
      </c>
      <c r="R28" s="56">
        <f t="shared" si="1"/>
        <v>2003</v>
      </c>
      <c r="S28" s="56">
        <f t="shared" si="3"/>
        <v>2003</v>
      </c>
      <c r="T28" s="91">
        <f t="shared" si="4"/>
        <v>0</v>
      </c>
      <c r="U28" s="80" t="str">
        <f t="shared" si="2"/>
        <v>Non_st</v>
      </c>
      <c r="V28" s="6">
        <v>1</v>
      </c>
      <c r="X28" s="4">
        <v>2.8670000000000001E-2</v>
      </c>
      <c r="Y28" s="4"/>
      <c r="Z28" s="4"/>
    </row>
    <row r="29" spans="1:42">
      <c r="A29" s="47" t="s">
        <v>14</v>
      </c>
      <c r="B29" s="47"/>
      <c r="C29" t="s">
        <v>7</v>
      </c>
      <c r="D29" s="57">
        <v>1372041.16</v>
      </c>
      <c r="E29" s="57">
        <f t="shared" si="0"/>
        <v>0</v>
      </c>
      <c r="F29" s="57">
        <f t="shared" si="5"/>
        <v>0</v>
      </c>
      <c r="I29" s="3">
        <v>3</v>
      </c>
      <c r="J29" s="46" t="s">
        <v>15</v>
      </c>
      <c r="K29" s="5">
        <v>37006</v>
      </c>
      <c r="L29" s="5">
        <v>37006</v>
      </c>
      <c r="M29" s="5">
        <v>37006</v>
      </c>
      <c r="N29" s="5">
        <v>38102</v>
      </c>
      <c r="O29" s="78" t="str">
        <f>IFERROR(INDEX(refinancements!$G$2:$G$105,MATCH($A29,De,0)),"")</f>
        <v/>
      </c>
      <c r="P29" t="s">
        <v>12</v>
      </c>
      <c r="Q29" t="s">
        <v>13</v>
      </c>
      <c r="R29" s="56">
        <f t="shared" si="1"/>
        <v>2001</v>
      </c>
      <c r="S29" s="56">
        <f t="shared" si="3"/>
        <v>2001</v>
      </c>
      <c r="T29" s="91">
        <f t="shared" si="4"/>
        <v>428515.0684931507</v>
      </c>
      <c r="U29" s="80" t="str">
        <f t="shared" si="2"/>
        <v>Non_st</v>
      </c>
      <c r="V29" s="6">
        <v>1</v>
      </c>
      <c r="X29" s="4">
        <v>4.7800000000000002E-2</v>
      </c>
      <c r="Y29" s="4"/>
      <c r="Z29" s="4"/>
    </row>
    <row r="30" spans="1:42">
      <c r="A30" s="47" t="s">
        <v>86</v>
      </c>
      <c r="B30" s="47"/>
      <c r="C30" t="s">
        <v>17</v>
      </c>
      <c r="D30" s="57">
        <v>4324063.92</v>
      </c>
      <c r="E30" s="57">
        <f t="shared" si="0"/>
        <v>0</v>
      </c>
      <c r="F30" s="57">
        <f t="shared" si="5"/>
        <v>0</v>
      </c>
      <c r="I30" s="3">
        <v>7</v>
      </c>
      <c r="J30" s="46" t="s">
        <v>87</v>
      </c>
      <c r="K30" s="5">
        <v>38023</v>
      </c>
      <c r="L30" s="5">
        <v>38022</v>
      </c>
      <c r="M30" s="5">
        <v>38022</v>
      </c>
      <c r="N30" s="5">
        <v>40719</v>
      </c>
      <c r="O30" s="78" t="str">
        <f>IFERROR(INDEX(refinancements!$G$2:$G$105,MATCH($A30,De,0)),"")</f>
        <v/>
      </c>
      <c r="P30" t="s">
        <v>12</v>
      </c>
      <c r="Q30" t="s">
        <v>13</v>
      </c>
      <c r="R30" s="56">
        <f t="shared" si="1"/>
        <v>2004</v>
      </c>
      <c r="S30" s="56">
        <f t="shared" si="3"/>
        <v>2004</v>
      </c>
      <c r="T30" s="91">
        <f t="shared" si="4"/>
        <v>414630.13698630134</v>
      </c>
      <c r="U30" s="80" t="str">
        <f t="shared" si="2"/>
        <v>Non_st</v>
      </c>
      <c r="V30" s="6">
        <v>1</v>
      </c>
      <c r="W30" s="6">
        <v>1</v>
      </c>
      <c r="X30" s="4">
        <v>3.7999999999999999E-2</v>
      </c>
    </row>
    <row r="31" spans="1:42">
      <c r="A31" s="47" t="s">
        <v>90</v>
      </c>
      <c r="B31" s="47"/>
      <c r="C31" t="s">
        <v>23</v>
      </c>
      <c r="D31" s="57">
        <v>13633467</v>
      </c>
      <c r="E31" s="57">
        <f t="shared" si="0"/>
        <v>12533000</v>
      </c>
      <c r="F31" s="57">
        <f t="shared" si="5"/>
        <v>1100000</v>
      </c>
      <c r="I31" s="3">
        <v>17.75</v>
      </c>
      <c r="J31" s="46" t="s">
        <v>91</v>
      </c>
      <c r="K31" s="5">
        <v>38062</v>
      </c>
      <c r="L31" s="5">
        <v>38087</v>
      </c>
      <c r="M31" s="5">
        <v>38087</v>
      </c>
      <c r="N31" s="5">
        <v>44531</v>
      </c>
      <c r="O31" s="78">
        <f>IFERROR(INDEX(refinancements!$G$2:$G$105,MATCH($A31,De,0)),"")</f>
        <v>38687</v>
      </c>
      <c r="P31" t="s">
        <v>93</v>
      </c>
      <c r="Q31" t="s">
        <v>94</v>
      </c>
      <c r="R31" s="56">
        <f t="shared" si="1"/>
        <v>2004</v>
      </c>
      <c r="S31" s="56">
        <f t="shared" si="3"/>
        <v>2004</v>
      </c>
      <c r="T31" s="91">
        <f t="shared" si="4"/>
        <v>301369.8630136986</v>
      </c>
      <c r="U31" s="80" t="str">
        <f t="shared" si="2"/>
        <v>Struct</v>
      </c>
      <c r="V31" s="6">
        <v>1</v>
      </c>
      <c r="X31" s="4">
        <v>4.24E-2</v>
      </c>
      <c r="AF31" t="s">
        <v>95</v>
      </c>
      <c r="AH31" s="23" t="s">
        <v>192</v>
      </c>
      <c r="AI31" s="4">
        <v>0.04</v>
      </c>
      <c r="AK31" t="s">
        <v>95</v>
      </c>
      <c r="AL31">
        <v>2</v>
      </c>
      <c r="AM31" s="4">
        <v>1E-3</v>
      </c>
    </row>
    <row r="32" spans="1:42">
      <c r="A32" s="47" t="s">
        <v>96</v>
      </c>
      <c r="B32" s="47"/>
      <c r="C32" t="s">
        <v>23</v>
      </c>
      <c r="D32" s="57">
        <v>12976172.539999999</v>
      </c>
      <c r="E32" s="57">
        <f t="shared" si="0"/>
        <v>12976000</v>
      </c>
      <c r="F32" s="57">
        <f t="shared" si="5"/>
        <v>0</v>
      </c>
      <c r="I32" s="3">
        <v>15</v>
      </c>
      <c r="J32" s="46" t="s">
        <v>97</v>
      </c>
      <c r="K32" s="5">
        <v>38062</v>
      </c>
      <c r="L32" s="5">
        <v>38087</v>
      </c>
      <c r="M32" s="5">
        <v>38087</v>
      </c>
      <c r="N32" s="5">
        <v>43586</v>
      </c>
      <c r="O32" s="78">
        <f>IFERROR(INDEX(refinancements!$G$2:$G$105,MATCH($A32,De,0)),"")</f>
        <v>38534</v>
      </c>
      <c r="P32" t="s">
        <v>35</v>
      </c>
      <c r="Q32" t="s">
        <v>36</v>
      </c>
      <c r="R32" s="56">
        <f t="shared" si="1"/>
        <v>2004</v>
      </c>
      <c r="S32" s="56">
        <f t="shared" si="3"/>
        <v>2004</v>
      </c>
      <c r="T32" s="91">
        <f t="shared" si="4"/>
        <v>0</v>
      </c>
      <c r="U32" s="80" t="str">
        <f t="shared" si="2"/>
        <v>Struct</v>
      </c>
      <c r="V32" s="6">
        <v>1</v>
      </c>
      <c r="X32" s="4">
        <v>4.8300000000000003E-2</v>
      </c>
      <c r="AF32" t="s">
        <v>37</v>
      </c>
      <c r="AH32" s="23" t="s">
        <v>192</v>
      </c>
      <c r="AI32" s="4">
        <v>7.0000000000000007E-2</v>
      </c>
      <c r="AK32" t="s">
        <v>37</v>
      </c>
      <c r="AL32">
        <v>1</v>
      </c>
      <c r="AM32" s="4">
        <v>1E-3</v>
      </c>
    </row>
    <row r="33" spans="1:42">
      <c r="A33" s="47" t="s">
        <v>88</v>
      </c>
      <c r="B33" s="47"/>
      <c r="C33" t="s">
        <v>23</v>
      </c>
      <c r="D33" s="57">
        <v>177894.36</v>
      </c>
      <c r="E33" s="57">
        <f t="shared" si="0"/>
        <v>0</v>
      </c>
      <c r="F33" s="57">
        <f t="shared" si="5"/>
        <v>0</v>
      </c>
      <c r="I33" s="3">
        <v>3</v>
      </c>
      <c r="J33" s="46" t="s">
        <v>89</v>
      </c>
      <c r="K33" s="5">
        <v>38077</v>
      </c>
      <c r="L33" s="5">
        <v>38077</v>
      </c>
      <c r="M33" s="5">
        <v>38077</v>
      </c>
      <c r="N33" s="5">
        <v>39173</v>
      </c>
      <c r="O33" s="78" t="str">
        <f>IFERROR(INDEX(refinancements!$G$2:$G$105,MATCH($A33,De,0)),"")</f>
        <v/>
      </c>
      <c r="P33" t="s">
        <v>12</v>
      </c>
      <c r="Q33" t="s">
        <v>13</v>
      </c>
      <c r="R33" s="56">
        <f t="shared" si="1"/>
        <v>2004</v>
      </c>
      <c r="S33" s="56">
        <f t="shared" si="3"/>
        <v>2004</v>
      </c>
      <c r="T33" s="91">
        <f t="shared" si="4"/>
        <v>43890.410958904104</v>
      </c>
      <c r="U33" s="80" t="str">
        <f t="shared" si="2"/>
        <v>Non_st</v>
      </c>
      <c r="V33" s="6">
        <v>1</v>
      </c>
      <c r="W33" s="6">
        <v>1</v>
      </c>
      <c r="X33" s="4">
        <v>2.7E-2</v>
      </c>
    </row>
    <row r="34" spans="1:42">
      <c r="A34" s="47" t="s">
        <v>98</v>
      </c>
      <c r="B34" s="47"/>
      <c r="C34" t="s">
        <v>23</v>
      </c>
      <c r="D34" s="57">
        <v>13500000</v>
      </c>
      <c r="E34" s="57">
        <f t="shared" ref="E34:E65" si="6">SUMPRODUCT((Vers=$A34)*Montant_transfere)</f>
        <v>0</v>
      </c>
      <c r="F34" s="57">
        <f t="shared" si="5"/>
        <v>0</v>
      </c>
      <c r="I34" s="3">
        <v>15</v>
      </c>
      <c r="J34" s="46" t="s">
        <v>99</v>
      </c>
      <c r="K34" s="5">
        <v>38105</v>
      </c>
      <c r="L34" s="5">
        <v>38092</v>
      </c>
      <c r="M34" s="5">
        <v>38092</v>
      </c>
      <c r="N34" s="5">
        <v>43922</v>
      </c>
      <c r="O34" s="78">
        <f>IFERROR(INDEX(refinancements!$G$2:$G$105,MATCH($A34,De,0)),"")</f>
        <v>38443</v>
      </c>
      <c r="P34" t="s">
        <v>53</v>
      </c>
      <c r="Q34" t="s">
        <v>54</v>
      </c>
      <c r="R34" s="56">
        <f t="shared" ref="R34:R65" si="7">YEAR(K34)</f>
        <v>2004</v>
      </c>
      <c r="S34" s="56">
        <f t="shared" si="3"/>
        <v>2004</v>
      </c>
      <c r="T34" s="91">
        <f t="shared" si="4"/>
        <v>3883561.6438356163</v>
      </c>
      <c r="U34" s="80" t="str">
        <f t="shared" ref="U34:U65" si="8">IF(Q34="1A",IF(P34="Livret A","Livr_A",IF(SUMPRODUCT((Vers=$A34)*De_non_1A)&gt;0,IF(H34&gt;1,"Restr_aidé","Restr_sec"),"Non_st")),"Struct")</f>
        <v>Struct</v>
      </c>
      <c r="V34" s="6">
        <v>1</v>
      </c>
      <c r="Y34" t="s">
        <v>100</v>
      </c>
      <c r="AA34">
        <v>1</v>
      </c>
      <c r="AB34" s="4">
        <v>-2.35E-2</v>
      </c>
      <c r="AP34" t="s">
        <v>561</v>
      </c>
    </row>
    <row r="35" spans="1:42">
      <c r="A35" s="47" t="s">
        <v>105</v>
      </c>
      <c r="B35" s="47"/>
      <c r="C35" t="s">
        <v>23</v>
      </c>
      <c r="D35" s="57">
        <v>9257784.7300000004</v>
      </c>
      <c r="E35" s="57">
        <f t="shared" si="6"/>
        <v>8696000</v>
      </c>
      <c r="F35" s="57">
        <f t="shared" si="5"/>
        <v>830000</v>
      </c>
      <c r="G35" s="57">
        <v>830000</v>
      </c>
      <c r="I35" s="3">
        <v>10</v>
      </c>
      <c r="J35" s="46" t="s">
        <v>106</v>
      </c>
      <c r="K35" s="5">
        <v>38121</v>
      </c>
      <c r="L35" s="5">
        <v>38153</v>
      </c>
      <c r="M35" s="5">
        <v>38153</v>
      </c>
      <c r="N35" s="5">
        <v>41791</v>
      </c>
      <c r="O35" s="78">
        <f>IFERROR(INDEX(refinancements!$G$2:$G$105,MATCH($A35,De,0)),"")</f>
        <v>38384</v>
      </c>
      <c r="P35" t="s">
        <v>49</v>
      </c>
      <c r="Q35" t="s">
        <v>50</v>
      </c>
      <c r="R35" s="56">
        <f t="shared" si="7"/>
        <v>2004</v>
      </c>
      <c r="S35" s="56">
        <f t="shared" si="3"/>
        <v>2004</v>
      </c>
      <c r="T35" s="91">
        <f t="shared" si="4"/>
        <v>255594.52054794523</v>
      </c>
      <c r="U35" s="80" t="str">
        <f t="shared" si="8"/>
        <v>Struct</v>
      </c>
      <c r="V35" s="6">
        <v>2</v>
      </c>
      <c r="AP35" t="s">
        <v>107</v>
      </c>
    </row>
    <row r="36" spans="1:42">
      <c r="A36" s="47" t="s">
        <v>108</v>
      </c>
      <c r="B36" s="47"/>
      <c r="C36" t="s">
        <v>23</v>
      </c>
      <c r="D36" s="57">
        <v>10929875.76</v>
      </c>
      <c r="E36" s="57">
        <f t="shared" si="6"/>
        <v>10830000</v>
      </c>
      <c r="F36" s="57">
        <f t="shared" ref="F36:F67" si="9">SUMPRODUCT((Vers=A36)*IRA_en_sus)</f>
        <v>0</v>
      </c>
      <c r="I36" s="3">
        <v>18</v>
      </c>
      <c r="J36" s="46" t="s">
        <v>454</v>
      </c>
      <c r="K36" s="5">
        <v>38188</v>
      </c>
      <c r="L36" s="5">
        <v>38193</v>
      </c>
      <c r="M36" s="5">
        <v>38193</v>
      </c>
      <c r="N36" s="5">
        <v>44621</v>
      </c>
      <c r="O36" s="78">
        <f>IFERROR(INDEX(refinancements!$G$2:$G$105,MATCH($A36,De,0)),"")</f>
        <v>38777</v>
      </c>
      <c r="P36" t="s">
        <v>20</v>
      </c>
      <c r="Q36" t="s">
        <v>113</v>
      </c>
      <c r="R36" s="56">
        <f t="shared" si="7"/>
        <v>2004</v>
      </c>
      <c r="S36" s="56">
        <f t="shared" si="3"/>
        <v>2004</v>
      </c>
      <c r="T36" s="91">
        <f t="shared" si="4"/>
        <v>56438.356164383564</v>
      </c>
      <c r="U36" s="80" t="str">
        <f t="shared" si="8"/>
        <v>Struct</v>
      </c>
      <c r="V36" s="6">
        <v>1</v>
      </c>
      <c r="Y36" t="s">
        <v>66</v>
      </c>
      <c r="AA36">
        <v>2</v>
      </c>
      <c r="AB36" s="4">
        <v>1.32E-2</v>
      </c>
      <c r="AC36" s="4" t="s">
        <v>112</v>
      </c>
      <c r="AD36">
        <v>-1</v>
      </c>
      <c r="AN36" s="4">
        <v>0</v>
      </c>
    </row>
    <row r="37" spans="1:42">
      <c r="A37" s="47" t="s">
        <v>114</v>
      </c>
      <c r="B37" s="47"/>
      <c r="C37" t="s">
        <v>23</v>
      </c>
      <c r="D37" s="57">
        <v>11000000</v>
      </c>
      <c r="E37" s="57">
        <f t="shared" si="6"/>
        <v>5000000</v>
      </c>
      <c r="F37" s="57">
        <f t="shared" si="9"/>
        <v>0</v>
      </c>
      <c r="I37" s="3">
        <v>15</v>
      </c>
      <c r="J37" s="46" t="s">
        <v>115</v>
      </c>
      <c r="K37" s="5">
        <v>38334</v>
      </c>
      <c r="L37" s="5">
        <v>38384</v>
      </c>
      <c r="M37" s="5">
        <v>38384</v>
      </c>
      <c r="N37" s="5">
        <v>43862</v>
      </c>
      <c r="O37" s="78">
        <f>IFERROR(INDEX(refinancements!$G$2:$G$105,MATCH($A37,De,0)),"")</f>
        <v>39263</v>
      </c>
      <c r="P37" t="s">
        <v>49</v>
      </c>
      <c r="Q37" t="s">
        <v>50</v>
      </c>
      <c r="R37" s="56">
        <f t="shared" si="7"/>
        <v>2004</v>
      </c>
      <c r="S37" s="56">
        <f t="shared" si="3"/>
        <v>2005</v>
      </c>
      <c r="T37" s="91">
        <f t="shared" si="4"/>
        <v>509589.0410958904</v>
      </c>
      <c r="U37" s="80" t="str">
        <f t="shared" si="8"/>
        <v>Struct</v>
      </c>
      <c r="V37" s="6">
        <v>2</v>
      </c>
    </row>
    <row r="38" spans="1:42">
      <c r="A38" s="47" t="s">
        <v>121</v>
      </c>
      <c r="B38" s="47"/>
      <c r="C38" t="s">
        <v>23</v>
      </c>
      <c r="D38" s="57">
        <v>8000000</v>
      </c>
      <c r="E38" s="57">
        <f t="shared" si="6"/>
        <v>0</v>
      </c>
      <c r="F38" s="57">
        <f t="shared" si="9"/>
        <v>0</v>
      </c>
      <c r="I38" s="3">
        <v>15</v>
      </c>
      <c r="J38" s="46" t="s">
        <v>122</v>
      </c>
      <c r="K38" s="5">
        <v>38402</v>
      </c>
      <c r="L38" s="5">
        <v>38406</v>
      </c>
      <c r="M38" s="5">
        <v>38406</v>
      </c>
      <c r="N38" s="5">
        <v>44287</v>
      </c>
      <c r="O38" s="78">
        <f>IFERROR(INDEX(refinancements!$G$2:$G$105,MATCH($A38,De,0)),"")</f>
        <v>39203</v>
      </c>
      <c r="P38" t="s">
        <v>53</v>
      </c>
      <c r="Q38" t="s">
        <v>54</v>
      </c>
      <c r="R38" s="56">
        <f t="shared" si="7"/>
        <v>2005</v>
      </c>
      <c r="S38" s="56">
        <f t="shared" si="3"/>
        <v>2005</v>
      </c>
      <c r="T38" s="91">
        <f t="shared" si="4"/>
        <v>1161643.8356164382</v>
      </c>
      <c r="U38" s="80" t="str">
        <f t="shared" si="8"/>
        <v>Struct</v>
      </c>
      <c r="V38" s="6">
        <v>1</v>
      </c>
      <c r="Y38" t="s">
        <v>100</v>
      </c>
      <c r="AA38">
        <v>1</v>
      </c>
      <c r="AB38" s="4">
        <v>-1.9E-2</v>
      </c>
    </row>
    <row r="39" spans="1:42">
      <c r="A39" s="47" t="s">
        <v>125</v>
      </c>
      <c r="B39" s="47"/>
      <c r="C39" t="s">
        <v>23</v>
      </c>
      <c r="D39" s="57">
        <v>14472154.99</v>
      </c>
      <c r="E39" s="57">
        <f t="shared" si="6"/>
        <v>14472000</v>
      </c>
      <c r="F39" s="57">
        <f t="shared" si="9"/>
        <v>0</v>
      </c>
      <c r="I39" s="3">
        <v>19</v>
      </c>
      <c r="J39" s="46" t="s">
        <v>126</v>
      </c>
      <c r="K39" s="5">
        <v>38415</v>
      </c>
      <c r="L39" s="5">
        <v>38443</v>
      </c>
      <c r="M39" s="5">
        <v>38443</v>
      </c>
      <c r="N39" s="5">
        <v>45383</v>
      </c>
      <c r="O39" s="78">
        <f>IFERROR(INDEX(refinancements!$G$2:$G$105,MATCH($A39,De,0)),"")</f>
        <v>38899</v>
      </c>
      <c r="P39" t="s">
        <v>49</v>
      </c>
      <c r="Q39" t="s">
        <v>50</v>
      </c>
      <c r="R39" s="56">
        <f t="shared" si="7"/>
        <v>2005</v>
      </c>
      <c r="S39" s="56">
        <f t="shared" si="3"/>
        <v>2005</v>
      </c>
      <c r="T39" s="91">
        <f t="shared" si="4"/>
        <v>0</v>
      </c>
      <c r="U39" s="80" t="str">
        <f t="shared" si="8"/>
        <v>Struct</v>
      </c>
      <c r="V39" s="6">
        <v>2</v>
      </c>
    </row>
    <row r="40" spans="1:42">
      <c r="A40" s="47" t="s">
        <v>117</v>
      </c>
      <c r="B40" s="47"/>
      <c r="C40" t="s">
        <v>23</v>
      </c>
      <c r="D40" s="57">
        <v>10883098.460000001</v>
      </c>
      <c r="E40" s="57">
        <f t="shared" si="6"/>
        <v>0</v>
      </c>
      <c r="F40" s="57">
        <f t="shared" si="9"/>
        <v>0</v>
      </c>
      <c r="I40" s="3">
        <v>17</v>
      </c>
      <c r="J40" s="46" t="s">
        <v>118</v>
      </c>
      <c r="K40" s="5">
        <v>38415</v>
      </c>
      <c r="L40" s="5">
        <v>38406</v>
      </c>
      <c r="M40" s="5">
        <v>38406</v>
      </c>
      <c r="N40" s="5">
        <v>44866</v>
      </c>
      <c r="O40" s="78">
        <f>IFERROR(INDEX(refinancements!$G$2:$G$105,MATCH($A40,De,0)),"")</f>
        <v>39114</v>
      </c>
      <c r="P40" t="s">
        <v>93</v>
      </c>
      <c r="Q40" t="s">
        <v>119</v>
      </c>
      <c r="R40" s="56">
        <f t="shared" si="7"/>
        <v>2005</v>
      </c>
      <c r="S40" s="56">
        <f t="shared" si="3"/>
        <v>2005</v>
      </c>
      <c r="T40" s="91">
        <f t="shared" si="4"/>
        <v>1580271.2328767122</v>
      </c>
      <c r="U40" s="80" t="str">
        <f t="shared" si="8"/>
        <v>Struct</v>
      </c>
      <c r="V40" s="6">
        <v>1</v>
      </c>
      <c r="Y40" t="s">
        <v>66</v>
      </c>
      <c r="AA40">
        <v>0.5</v>
      </c>
      <c r="AC40" s="4" t="s">
        <v>320</v>
      </c>
      <c r="AD40">
        <v>1</v>
      </c>
      <c r="AF40" s="4" t="s">
        <v>120</v>
      </c>
      <c r="AG40" s="4"/>
      <c r="AH40" s="24" t="s">
        <v>191</v>
      </c>
      <c r="AI40" s="4">
        <v>1.9199999999999998E-2</v>
      </c>
      <c r="AJ40" s="4">
        <v>1.9199999999999998E-2</v>
      </c>
      <c r="AK40" t="s">
        <v>66</v>
      </c>
      <c r="AL40">
        <v>0.5</v>
      </c>
    </row>
    <row r="41" spans="1:42">
      <c r="A41" s="47" t="s">
        <v>180</v>
      </c>
      <c r="B41" s="47"/>
      <c r="C41" t="s">
        <v>23</v>
      </c>
      <c r="D41" s="57">
        <v>6992442.4100000001</v>
      </c>
      <c r="E41" s="57">
        <f t="shared" si="6"/>
        <v>3470494</v>
      </c>
      <c r="F41" s="57">
        <f t="shared" si="9"/>
        <v>0</v>
      </c>
      <c r="I41" s="3">
        <v>15</v>
      </c>
      <c r="J41" s="46" t="s">
        <v>557</v>
      </c>
      <c r="K41" s="5">
        <v>38419</v>
      </c>
      <c r="L41" s="5">
        <v>38443</v>
      </c>
      <c r="M41" s="5">
        <v>38443</v>
      </c>
      <c r="N41" s="5">
        <v>43922</v>
      </c>
      <c r="O41" s="78">
        <f>IFERROR(INDEX(refinancements!$G$2:$G$105,MATCH($A41,De,0)),"")</f>
        <v>39203</v>
      </c>
      <c r="P41" t="s">
        <v>49</v>
      </c>
      <c r="Q41" t="s">
        <v>50</v>
      </c>
      <c r="R41" s="56">
        <f t="shared" si="7"/>
        <v>2005</v>
      </c>
      <c r="S41" s="56">
        <f t="shared" si="3"/>
        <v>2005</v>
      </c>
      <c r="T41" s="91">
        <f t="shared" si="4"/>
        <v>868316.54794520547</v>
      </c>
      <c r="U41" s="80" t="str">
        <f t="shared" si="8"/>
        <v>Struct</v>
      </c>
      <c r="V41" s="6">
        <v>2</v>
      </c>
      <c r="Y41" t="s">
        <v>66</v>
      </c>
      <c r="AA41">
        <v>1</v>
      </c>
      <c r="AB41" s="4">
        <v>4.0000000000000002E-4</v>
      </c>
      <c r="AE41" s="5">
        <v>40634</v>
      </c>
      <c r="AF41" t="s">
        <v>200</v>
      </c>
      <c r="AH41" s="23" t="s">
        <v>191</v>
      </c>
      <c r="AI41">
        <v>1.45</v>
      </c>
      <c r="AK41" t="s">
        <v>95</v>
      </c>
      <c r="AM41" s="4">
        <v>4.0000000000000002E-4</v>
      </c>
      <c r="AP41" t="s">
        <v>455</v>
      </c>
    </row>
    <row r="42" spans="1:42">
      <c r="A42" s="47" t="s">
        <v>186</v>
      </c>
      <c r="B42" s="47"/>
      <c r="C42" t="s">
        <v>23</v>
      </c>
      <c r="D42" s="57">
        <v>12417987.689999999</v>
      </c>
      <c r="E42" s="57">
        <f t="shared" si="6"/>
        <v>4528000</v>
      </c>
      <c r="F42" s="57">
        <f t="shared" si="9"/>
        <v>0</v>
      </c>
      <c r="I42" s="3">
        <v>17.25</v>
      </c>
      <c r="J42" s="46" t="s">
        <v>456</v>
      </c>
      <c r="K42" s="5">
        <v>38420</v>
      </c>
      <c r="L42" s="5">
        <v>38504</v>
      </c>
      <c r="M42" s="5">
        <v>38504</v>
      </c>
      <c r="N42" s="5">
        <v>44835</v>
      </c>
      <c r="O42" s="78">
        <f>IFERROR(INDEX(refinancements!$G$2:$G$105,MATCH($A42,De,0)),"")</f>
        <v>38805</v>
      </c>
      <c r="P42" t="s">
        <v>49</v>
      </c>
      <c r="Q42" t="s">
        <v>50</v>
      </c>
      <c r="R42" s="56">
        <f t="shared" si="7"/>
        <v>2005</v>
      </c>
      <c r="S42" s="56">
        <f t="shared" si="3"/>
        <v>2005</v>
      </c>
      <c r="T42" s="91">
        <f t="shared" si="4"/>
        <v>3264082.1917808219</v>
      </c>
      <c r="U42" s="80" t="str">
        <f t="shared" si="8"/>
        <v>Struct</v>
      </c>
      <c r="V42" s="6">
        <v>2</v>
      </c>
      <c r="X42" s="4">
        <v>3.9899999999999998E-2</v>
      </c>
      <c r="AE42" s="5">
        <v>40392</v>
      </c>
      <c r="AF42" t="s">
        <v>200</v>
      </c>
      <c r="AH42" s="23" t="s">
        <v>191</v>
      </c>
      <c r="AI42">
        <v>1.44</v>
      </c>
      <c r="AK42" t="s">
        <v>95</v>
      </c>
      <c r="AM42" s="4">
        <v>4.0000000000000002E-4</v>
      </c>
      <c r="AP42" t="s">
        <v>455</v>
      </c>
    </row>
    <row r="43" spans="1:42">
      <c r="A43" s="47" t="s">
        <v>123</v>
      </c>
      <c r="B43" s="47"/>
      <c r="C43" t="s">
        <v>11</v>
      </c>
      <c r="D43" s="57">
        <v>1808556.04</v>
      </c>
      <c r="E43" s="57">
        <f t="shared" si="6"/>
        <v>0</v>
      </c>
      <c r="F43" s="57">
        <f t="shared" si="9"/>
        <v>0</v>
      </c>
      <c r="I43" s="3">
        <v>5</v>
      </c>
      <c r="J43" s="46" t="s">
        <v>124</v>
      </c>
      <c r="K43" s="5">
        <v>38435</v>
      </c>
      <c r="L43" s="5">
        <v>38435</v>
      </c>
      <c r="M43" s="5">
        <v>38435</v>
      </c>
      <c r="N43" s="87">
        <f>M43+I43*365</f>
        <v>40260</v>
      </c>
      <c r="O43" s="78" t="str">
        <f>IFERROR(INDEX(refinancements!$G$2:$G$105,MATCH($A43,De,0)),"")</f>
        <v/>
      </c>
      <c r="P43" t="s">
        <v>12</v>
      </c>
      <c r="Q43" t="s">
        <v>13</v>
      </c>
      <c r="R43" s="56">
        <f t="shared" si="7"/>
        <v>2005</v>
      </c>
      <c r="S43" s="56">
        <f t="shared" si="3"/>
        <v>2005</v>
      </c>
      <c r="T43" s="91">
        <f t="shared" si="4"/>
        <v>406405.47945205477</v>
      </c>
      <c r="U43" s="80" t="str">
        <f t="shared" si="8"/>
        <v>Non_st</v>
      </c>
      <c r="V43" s="6">
        <v>1</v>
      </c>
      <c r="X43" s="4">
        <v>2.9700000000000001E-2</v>
      </c>
    </row>
    <row r="44" spans="1:42">
      <c r="A44" s="47" t="s">
        <v>193</v>
      </c>
      <c r="B44" s="47"/>
      <c r="C44" t="s">
        <v>23</v>
      </c>
      <c r="D44" s="57">
        <v>12870042</v>
      </c>
      <c r="E44" s="57">
        <f t="shared" si="6"/>
        <v>12870000</v>
      </c>
      <c r="F44" s="57">
        <f t="shared" si="9"/>
        <v>0</v>
      </c>
      <c r="I44" s="3">
        <v>16</v>
      </c>
      <c r="J44" s="46" t="s">
        <v>194</v>
      </c>
      <c r="K44" s="5">
        <v>38474</v>
      </c>
      <c r="L44" s="5">
        <v>38687</v>
      </c>
      <c r="M44" s="5">
        <v>38687</v>
      </c>
      <c r="N44" s="5">
        <v>44531</v>
      </c>
      <c r="O44" s="78">
        <f>IFERROR(INDEX(refinancements!$G$2:$G$105,MATCH($A44,De,0)),"")</f>
        <v>38805</v>
      </c>
      <c r="P44" t="s">
        <v>20</v>
      </c>
      <c r="Q44" t="s">
        <v>189</v>
      </c>
      <c r="R44" s="56">
        <f t="shared" si="7"/>
        <v>2005</v>
      </c>
      <c r="S44" s="56">
        <f t="shared" si="3"/>
        <v>2005</v>
      </c>
      <c r="T44" s="91">
        <f t="shared" si="4"/>
        <v>0</v>
      </c>
      <c r="U44" s="80" t="str">
        <f t="shared" si="8"/>
        <v>Struct</v>
      </c>
      <c r="V44" s="6">
        <v>1</v>
      </c>
      <c r="X44" s="4">
        <v>3.7499999999999999E-2</v>
      </c>
      <c r="AE44" s="5"/>
      <c r="AF44" t="s">
        <v>292</v>
      </c>
      <c r="AG44" t="s">
        <v>296</v>
      </c>
      <c r="AH44" s="23" t="s">
        <v>191</v>
      </c>
      <c r="AI44" s="4">
        <v>5.0000000000000001E-3</v>
      </c>
      <c r="AJ44" s="4">
        <v>6.25E-2</v>
      </c>
      <c r="AK44" t="s">
        <v>279</v>
      </c>
      <c r="AL44">
        <v>-5</v>
      </c>
    </row>
    <row r="45" spans="1:42">
      <c r="A45" s="47" t="s">
        <v>187</v>
      </c>
      <c r="B45" s="47"/>
      <c r="C45" t="s">
        <v>23</v>
      </c>
      <c r="D45" s="57">
        <v>16962587.16</v>
      </c>
      <c r="E45" s="57">
        <f t="shared" si="6"/>
        <v>16962000</v>
      </c>
      <c r="F45" s="57">
        <f t="shared" si="9"/>
        <v>0</v>
      </c>
      <c r="I45" s="3">
        <v>16</v>
      </c>
      <c r="J45" s="46" t="s">
        <v>188</v>
      </c>
      <c r="K45" s="5">
        <v>38474</v>
      </c>
      <c r="L45" s="5">
        <v>38534</v>
      </c>
      <c r="M45" s="5">
        <v>38534</v>
      </c>
      <c r="N45" s="5">
        <v>44378</v>
      </c>
      <c r="O45" s="78">
        <f>IFERROR(INDEX(refinancements!$G$2:$G$105,MATCH($A45,De,0)),"")</f>
        <v>38899</v>
      </c>
      <c r="P45" t="s">
        <v>20</v>
      </c>
      <c r="Q45" t="s">
        <v>189</v>
      </c>
      <c r="R45" s="56">
        <f t="shared" si="7"/>
        <v>2005</v>
      </c>
      <c r="S45" s="56">
        <f t="shared" si="3"/>
        <v>2005</v>
      </c>
      <c r="T45" s="91">
        <f t="shared" si="4"/>
        <v>495.89041095890411</v>
      </c>
      <c r="U45" s="80" t="str">
        <f t="shared" si="8"/>
        <v>Struct</v>
      </c>
      <c r="V45" s="6">
        <v>1</v>
      </c>
      <c r="X45" s="4">
        <v>4.4999999999999998E-2</v>
      </c>
      <c r="AE45" s="5"/>
      <c r="AF45" t="s">
        <v>292</v>
      </c>
      <c r="AG45" t="s">
        <v>296</v>
      </c>
      <c r="AH45" s="23" t="s">
        <v>191</v>
      </c>
      <c r="AI45" s="4">
        <v>5.0000000000000001E-3</v>
      </c>
      <c r="AJ45" s="4">
        <v>7.4999999999999997E-2</v>
      </c>
      <c r="AK45" t="s">
        <v>279</v>
      </c>
      <c r="AL45">
        <v>-5</v>
      </c>
    </row>
    <row r="46" spans="1:42">
      <c r="A46" s="47" t="s">
        <v>183</v>
      </c>
      <c r="B46" s="47"/>
      <c r="C46" t="s">
        <v>7</v>
      </c>
      <c r="D46" s="57">
        <v>2503519</v>
      </c>
      <c r="E46" s="57">
        <f t="shared" si="6"/>
        <v>0</v>
      </c>
      <c r="F46" s="57">
        <f t="shared" si="9"/>
        <v>0</v>
      </c>
      <c r="I46" s="3">
        <v>6</v>
      </c>
      <c r="J46" s="46" t="s">
        <v>184</v>
      </c>
      <c r="K46" s="5">
        <v>38473</v>
      </c>
      <c r="L46" s="5">
        <v>38473</v>
      </c>
      <c r="M46" s="5">
        <v>38473</v>
      </c>
      <c r="N46" s="87">
        <f>M46+I46*365</f>
        <v>40663</v>
      </c>
      <c r="O46" s="78" t="str">
        <f>IFERROR(INDEX(refinancements!$G$2:$G$105,MATCH($A46,De,0)),"")</f>
        <v/>
      </c>
      <c r="P46" t="s">
        <v>83</v>
      </c>
      <c r="Q46" t="s">
        <v>13</v>
      </c>
      <c r="R46" s="56">
        <f t="shared" si="7"/>
        <v>2005</v>
      </c>
      <c r="S46" s="56">
        <f t="shared" si="3"/>
        <v>2005</v>
      </c>
      <c r="T46" s="91">
        <f t="shared" si="4"/>
        <v>823232.87671232875</v>
      </c>
      <c r="U46" s="80" t="str">
        <f t="shared" si="8"/>
        <v>Non_st</v>
      </c>
      <c r="V46" s="6">
        <v>1</v>
      </c>
      <c r="Y46" t="s">
        <v>66</v>
      </c>
      <c r="AA46">
        <v>1</v>
      </c>
      <c r="AB46" s="4">
        <v>1.5E-3</v>
      </c>
    </row>
    <row r="47" spans="1:42">
      <c r="A47" s="47" t="s">
        <v>185</v>
      </c>
      <c r="B47" s="47"/>
      <c r="C47" t="s">
        <v>7</v>
      </c>
      <c r="D47" s="57">
        <v>3425073.34</v>
      </c>
      <c r="E47" s="57">
        <f t="shared" si="6"/>
        <v>0</v>
      </c>
      <c r="F47" s="57">
        <f t="shared" si="9"/>
        <v>0</v>
      </c>
      <c r="I47" s="3">
        <v>8</v>
      </c>
      <c r="J47" s="46" t="s">
        <v>184</v>
      </c>
      <c r="K47" s="5">
        <v>38473</v>
      </c>
      <c r="L47" s="5">
        <v>38473</v>
      </c>
      <c r="M47" s="5">
        <v>38473</v>
      </c>
      <c r="N47" s="87">
        <f>M47+I47*365</f>
        <v>41393</v>
      </c>
      <c r="O47" s="78" t="str">
        <f>IFERROR(INDEX(refinancements!$G$2:$G$105,MATCH($A47,De,0)),"")</f>
        <v/>
      </c>
      <c r="P47" t="s">
        <v>83</v>
      </c>
      <c r="Q47" t="s">
        <v>13</v>
      </c>
      <c r="R47" s="56">
        <f t="shared" si="7"/>
        <v>2005</v>
      </c>
      <c r="S47" s="56">
        <f t="shared" si="3"/>
        <v>2005</v>
      </c>
      <c r="T47" s="91">
        <f t="shared" si="4"/>
        <v>1126027.3972602738</v>
      </c>
      <c r="U47" s="80" t="str">
        <f t="shared" si="8"/>
        <v>Non_st</v>
      </c>
      <c r="V47" s="6">
        <v>1</v>
      </c>
      <c r="Y47" t="s">
        <v>66</v>
      </c>
      <c r="AA47">
        <v>1</v>
      </c>
      <c r="AB47" s="4">
        <v>1.5E-3</v>
      </c>
    </row>
    <row r="48" spans="1:42">
      <c r="A48" s="47" t="s">
        <v>199</v>
      </c>
      <c r="B48" s="47"/>
      <c r="C48" t="s">
        <v>23</v>
      </c>
      <c r="D48" s="57">
        <v>11244941.99</v>
      </c>
      <c r="E48" s="57">
        <f t="shared" si="6"/>
        <v>11245000</v>
      </c>
      <c r="F48" s="57">
        <f t="shared" si="9"/>
        <v>0</v>
      </c>
      <c r="I48" s="3">
        <v>16.25</v>
      </c>
      <c r="J48" s="46" t="s">
        <v>457</v>
      </c>
      <c r="K48" s="5">
        <v>38679</v>
      </c>
      <c r="L48" s="5">
        <v>38777</v>
      </c>
      <c r="M48" s="5">
        <v>38777</v>
      </c>
      <c r="N48" s="5">
        <v>44713</v>
      </c>
      <c r="O48" s="78">
        <f>IFERROR(INDEX(refinancements!$G$2:$G$105,MATCH($A48,De,0)),"")</f>
        <v>40452</v>
      </c>
      <c r="P48" t="s">
        <v>49</v>
      </c>
      <c r="Q48" t="s">
        <v>50</v>
      </c>
      <c r="R48" s="56">
        <f t="shared" si="7"/>
        <v>2005</v>
      </c>
      <c r="S48" s="56">
        <f t="shared" si="3"/>
        <v>2006</v>
      </c>
      <c r="T48" s="91">
        <f t="shared" si="4"/>
        <v>0</v>
      </c>
      <c r="U48" s="80" t="str">
        <f t="shared" si="8"/>
        <v>Struct</v>
      </c>
      <c r="V48" s="6">
        <v>1</v>
      </c>
      <c r="X48" s="4">
        <v>2.9000000000000001E-2</v>
      </c>
      <c r="AE48" s="5"/>
      <c r="AF48" t="s">
        <v>200</v>
      </c>
      <c r="AH48" s="23" t="s">
        <v>191</v>
      </c>
      <c r="AI48">
        <v>1.45</v>
      </c>
      <c r="AJ48" s="4">
        <v>2.9000000000000001E-2</v>
      </c>
      <c r="AK48" t="s">
        <v>458</v>
      </c>
      <c r="AL48">
        <v>0.5</v>
      </c>
    </row>
    <row r="49" spans="1:42">
      <c r="A49" s="47" t="s">
        <v>195</v>
      </c>
      <c r="B49" s="47"/>
      <c r="C49" t="s">
        <v>23</v>
      </c>
      <c r="D49" s="57">
        <v>10338137.08</v>
      </c>
      <c r="E49" s="57">
        <f t="shared" si="6"/>
        <v>0</v>
      </c>
      <c r="F49" s="57">
        <f t="shared" si="9"/>
        <v>0</v>
      </c>
      <c r="I49" s="3">
        <v>18.170000000000002</v>
      </c>
      <c r="J49" s="46" t="s">
        <v>196</v>
      </c>
      <c r="K49" s="5">
        <v>38729</v>
      </c>
      <c r="L49" s="5">
        <v>38709</v>
      </c>
      <c r="M49" s="5">
        <v>38709</v>
      </c>
      <c r="N49" s="5">
        <v>45047</v>
      </c>
      <c r="O49" s="78">
        <f>IFERROR(INDEX(refinancements!$G$2:$G$105,MATCH($A49,De,0)),"")</f>
        <v>39203</v>
      </c>
      <c r="P49" t="s">
        <v>20</v>
      </c>
      <c r="Q49" t="s">
        <v>113</v>
      </c>
      <c r="R49" s="56">
        <f t="shared" si="7"/>
        <v>2006</v>
      </c>
      <c r="S49" s="56">
        <f t="shared" si="3"/>
        <v>2005</v>
      </c>
      <c r="T49" s="91">
        <f t="shared" si="4"/>
        <v>10083090.410958905</v>
      </c>
      <c r="U49" s="80" t="str">
        <f t="shared" si="8"/>
        <v>Struct</v>
      </c>
      <c r="V49" s="6">
        <v>1</v>
      </c>
      <c r="Y49" t="s">
        <v>66</v>
      </c>
      <c r="AA49">
        <v>2</v>
      </c>
      <c r="AB49" s="4">
        <v>1.09E-2</v>
      </c>
      <c r="AC49" s="4" t="s">
        <v>112</v>
      </c>
      <c r="AD49">
        <v>-1</v>
      </c>
    </row>
    <row r="50" spans="1:42">
      <c r="A50" s="47" t="s">
        <v>197</v>
      </c>
      <c r="B50" s="47"/>
      <c r="C50" t="s">
        <v>17</v>
      </c>
      <c r="D50" s="57">
        <v>15694823.720000001</v>
      </c>
      <c r="E50" s="57">
        <f t="shared" si="6"/>
        <v>11695000</v>
      </c>
      <c r="F50" s="57">
        <f t="shared" si="9"/>
        <v>0</v>
      </c>
      <c r="I50" s="3">
        <v>20</v>
      </c>
      <c r="J50" s="46" t="s">
        <v>198</v>
      </c>
      <c r="K50" s="5">
        <v>38782</v>
      </c>
      <c r="L50" s="5">
        <v>38773</v>
      </c>
      <c r="M50" s="5">
        <v>38773</v>
      </c>
      <c r="N50" s="5">
        <v>46078</v>
      </c>
      <c r="O50" s="78">
        <f>IFERROR(INDEX(refinancements!$G$2:$G$105,MATCH($A50,De,0)),"")</f>
        <v>39288</v>
      </c>
      <c r="P50" t="s">
        <v>20</v>
      </c>
      <c r="Q50" t="s">
        <v>189</v>
      </c>
      <c r="R50" s="56">
        <f t="shared" si="7"/>
        <v>2006</v>
      </c>
      <c r="S50" s="56">
        <f t="shared" si="3"/>
        <v>2006</v>
      </c>
      <c r="T50" s="91">
        <f t="shared" si="4"/>
        <v>602739.72602739721</v>
      </c>
      <c r="U50" s="80" t="str">
        <f t="shared" si="8"/>
        <v>Struct</v>
      </c>
      <c r="V50" s="6">
        <v>1</v>
      </c>
      <c r="X50" s="4">
        <v>2.6100000000000002E-2</v>
      </c>
      <c r="AE50" s="5"/>
      <c r="AF50" t="s">
        <v>294</v>
      </c>
      <c r="AG50" t="s">
        <v>295</v>
      </c>
      <c r="AH50" s="23" t="s">
        <v>191</v>
      </c>
      <c r="AI50" s="4">
        <v>3.0000000000000001E-3</v>
      </c>
      <c r="AJ50" s="4">
        <v>6.8000000000000005E-2</v>
      </c>
      <c r="AK50" t="s">
        <v>280</v>
      </c>
      <c r="AL50">
        <v>-5</v>
      </c>
    </row>
    <row r="51" spans="1:42">
      <c r="A51" s="46" t="s">
        <v>204</v>
      </c>
      <c r="C51" t="s">
        <v>34</v>
      </c>
      <c r="D51" s="57">
        <v>5000000</v>
      </c>
      <c r="E51" s="57">
        <f t="shared" si="6"/>
        <v>0</v>
      </c>
      <c r="F51" s="57">
        <f t="shared" si="9"/>
        <v>0</v>
      </c>
      <c r="I51" s="3">
        <v>15</v>
      </c>
      <c r="J51" s="46" t="s">
        <v>205</v>
      </c>
      <c r="K51" s="5">
        <v>38782</v>
      </c>
      <c r="L51" s="5">
        <v>38782</v>
      </c>
      <c r="M51" s="5">
        <v>38782</v>
      </c>
      <c r="N51" s="87">
        <f>M51+I51*365</f>
        <v>44257</v>
      </c>
      <c r="O51" s="78" t="str">
        <f>IFERROR(INDEX(refinancements!$G$2:$G$105,MATCH($A51,De,0)),"")</f>
        <v/>
      </c>
      <c r="P51" t="s">
        <v>40</v>
      </c>
      <c r="Q51" t="s">
        <v>41</v>
      </c>
      <c r="R51" s="56">
        <f t="shared" si="7"/>
        <v>2006</v>
      </c>
      <c r="S51" s="56">
        <f t="shared" si="3"/>
        <v>2006</v>
      </c>
      <c r="T51" s="91">
        <f t="shared" si="4"/>
        <v>876712.32876712328</v>
      </c>
      <c r="U51" s="80" t="str">
        <f t="shared" si="8"/>
        <v>Struct</v>
      </c>
      <c r="V51" s="6">
        <v>0</v>
      </c>
      <c r="X51" s="4"/>
      <c r="AE51" s="5"/>
      <c r="AF51" t="s">
        <v>66</v>
      </c>
      <c r="AI51" s="4">
        <v>4.8000000000000001E-2</v>
      </c>
    </row>
    <row r="52" spans="1:42">
      <c r="A52" s="47" t="s">
        <v>215</v>
      </c>
      <c r="B52" s="47"/>
      <c r="C52" t="s">
        <v>23</v>
      </c>
      <c r="D52" s="57">
        <v>12000000</v>
      </c>
      <c r="E52" s="57">
        <f t="shared" si="6"/>
        <v>12000000</v>
      </c>
      <c r="F52" s="57">
        <f t="shared" si="9"/>
        <v>0</v>
      </c>
      <c r="I52" s="3">
        <v>19</v>
      </c>
      <c r="J52" s="46" t="s">
        <v>459</v>
      </c>
      <c r="K52" s="5">
        <v>38805</v>
      </c>
      <c r="L52" s="5">
        <v>38991</v>
      </c>
      <c r="M52" s="5">
        <v>38991</v>
      </c>
      <c r="N52" s="5">
        <v>45931</v>
      </c>
      <c r="O52" s="78">
        <f>IFERROR(INDEX(refinancements!$G$2:$G$105,MATCH($A52,De,0)),"")</f>
        <v>40087</v>
      </c>
      <c r="P52" t="s">
        <v>49</v>
      </c>
      <c r="Q52" t="s">
        <v>50</v>
      </c>
      <c r="R52" s="56">
        <f t="shared" si="7"/>
        <v>2006</v>
      </c>
      <c r="S52" s="56">
        <f t="shared" si="3"/>
        <v>2006</v>
      </c>
      <c r="T52" s="91">
        <f t="shared" si="4"/>
        <v>0</v>
      </c>
      <c r="U52" s="80" t="str">
        <f t="shared" si="8"/>
        <v>Struct</v>
      </c>
      <c r="V52" s="6">
        <v>1</v>
      </c>
      <c r="X52" s="4">
        <v>3.32E-2</v>
      </c>
      <c r="AE52" s="5"/>
      <c r="AF52" t="s">
        <v>212</v>
      </c>
      <c r="AI52">
        <v>87</v>
      </c>
      <c r="AJ52" s="4">
        <v>5.5199999999999999E-2</v>
      </c>
      <c r="AK52" t="s">
        <v>460</v>
      </c>
      <c r="AL52">
        <v>0.15</v>
      </c>
    </row>
    <row r="53" spans="1:42">
      <c r="A53" s="47" t="s">
        <v>461</v>
      </c>
      <c r="B53" s="47"/>
      <c r="C53" t="s">
        <v>23</v>
      </c>
      <c r="D53" s="57">
        <v>10344000</v>
      </c>
      <c r="E53" s="57">
        <f t="shared" si="6"/>
        <v>10344000</v>
      </c>
      <c r="F53" s="57">
        <f t="shared" si="9"/>
        <v>0</v>
      </c>
      <c r="I53" s="3">
        <v>19.079999999999998</v>
      </c>
      <c r="J53" s="46" t="s">
        <v>462</v>
      </c>
      <c r="K53" s="5">
        <v>38805</v>
      </c>
      <c r="L53" s="73">
        <v>38805</v>
      </c>
      <c r="M53" s="73">
        <v>38805</v>
      </c>
      <c r="N53" s="5">
        <v>46142</v>
      </c>
      <c r="O53" s="78">
        <f>IFERROR(INDEX(refinancements!$G$2:$G$105,MATCH($A53,De,0)),"")</f>
        <v>39114</v>
      </c>
      <c r="P53" t="s">
        <v>20</v>
      </c>
      <c r="Q53" t="s">
        <v>189</v>
      </c>
      <c r="R53" s="56">
        <f t="shared" si="7"/>
        <v>2006</v>
      </c>
      <c r="S53" s="56">
        <f t="shared" si="3"/>
        <v>2006</v>
      </c>
      <c r="T53" s="91">
        <f t="shared" si="4"/>
        <v>0</v>
      </c>
      <c r="U53" s="80" t="str">
        <f t="shared" si="8"/>
        <v>Struct</v>
      </c>
      <c r="V53" s="6">
        <v>3</v>
      </c>
      <c r="X53" s="4">
        <v>3.44E-2</v>
      </c>
      <c r="AE53" s="5"/>
      <c r="AF53" t="s">
        <v>292</v>
      </c>
      <c r="AG53" t="s">
        <v>296</v>
      </c>
      <c r="AH53" s="23" t="s">
        <v>191</v>
      </c>
      <c r="AI53" s="4">
        <v>3.0000000000000001E-3</v>
      </c>
      <c r="AJ53" s="4">
        <v>6.0999999999999999E-2</v>
      </c>
      <c r="AK53" t="s">
        <v>279</v>
      </c>
      <c r="AL53">
        <v>-5</v>
      </c>
    </row>
    <row r="54" spans="1:42">
      <c r="A54" s="47" t="s">
        <v>217</v>
      </c>
      <c r="B54" s="47"/>
      <c r="C54" t="s">
        <v>23</v>
      </c>
      <c r="D54" s="57">
        <v>12000000</v>
      </c>
      <c r="E54" s="57">
        <f t="shared" si="6"/>
        <v>12000000</v>
      </c>
      <c r="F54" s="57">
        <f t="shared" si="9"/>
        <v>0</v>
      </c>
      <c r="I54" s="3">
        <v>19.170000000000002</v>
      </c>
      <c r="J54" s="46" t="s">
        <v>463</v>
      </c>
      <c r="K54" s="5">
        <v>38805</v>
      </c>
      <c r="L54" s="5">
        <v>38991</v>
      </c>
      <c r="M54" s="5">
        <v>38991</v>
      </c>
      <c r="N54" s="5">
        <v>45992</v>
      </c>
      <c r="O54" s="78">
        <f>IFERROR(INDEX(refinancements!$G$2:$G$105,MATCH($A54,De,0)),"")</f>
        <v>39783</v>
      </c>
      <c r="P54" t="s">
        <v>49</v>
      </c>
      <c r="Q54" t="s">
        <v>50</v>
      </c>
      <c r="R54" s="56">
        <f t="shared" si="7"/>
        <v>2006</v>
      </c>
      <c r="S54" s="56">
        <f t="shared" si="3"/>
        <v>2006</v>
      </c>
      <c r="T54" s="91">
        <f t="shared" si="4"/>
        <v>0</v>
      </c>
      <c r="U54" s="80" t="str">
        <f t="shared" si="8"/>
        <v>Struct</v>
      </c>
      <c r="V54" s="6">
        <v>1</v>
      </c>
      <c r="X54" s="4">
        <v>2.9899999999999999E-2</v>
      </c>
      <c r="AE54" s="5"/>
      <c r="AF54" t="s">
        <v>200</v>
      </c>
      <c r="AH54" s="23" t="s">
        <v>191</v>
      </c>
      <c r="AI54">
        <v>1.4450000000000001</v>
      </c>
      <c r="AJ54" s="4">
        <v>2.9899999999999999E-2</v>
      </c>
      <c r="AK54" t="s">
        <v>464</v>
      </c>
      <c r="AL54">
        <v>0.5</v>
      </c>
    </row>
    <row r="55" spans="1:42">
      <c r="A55" s="47" t="s">
        <v>207</v>
      </c>
      <c r="B55" s="47"/>
      <c r="C55" t="s">
        <v>34</v>
      </c>
      <c r="D55" s="57">
        <v>5000000</v>
      </c>
      <c r="E55" s="57">
        <f t="shared" si="6"/>
        <v>0</v>
      </c>
      <c r="F55" s="57">
        <f t="shared" si="9"/>
        <v>0</v>
      </c>
      <c r="I55" s="3">
        <v>15</v>
      </c>
      <c r="J55" s="46" t="s">
        <v>208</v>
      </c>
      <c r="K55" s="5">
        <v>38782</v>
      </c>
      <c r="L55" s="5">
        <v>38782</v>
      </c>
      <c r="M55" s="5">
        <v>38782</v>
      </c>
      <c r="N55" s="5">
        <v>44261</v>
      </c>
      <c r="O55" s="78" t="str">
        <f>IFERROR(INDEX(refinancements!$G$2:$G$105,MATCH($A55,De,0)),"")</f>
        <v/>
      </c>
      <c r="P55" t="s">
        <v>12</v>
      </c>
      <c r="Q55" t="s">
        <v>13</v>
      </c>
      <c r="R55" s="56">
        <f t="shared" si="7"/>
        <v>2006</v>
      </c>
      <c r="S55" s="56">
        <f t="shared" si="3"/>
        <v>2006</v>
      </c>
      <c r="T55" s="91">
        <f t="shared" si="4"/>
        <v>876712.32876712328</v>
      </c>
      <c r="U55" s="80" t="str">
        <f t="shared" si="8"/>
        <v>Non_st</v>
      </c>
      <c r="V55" s="6">
        <v>1</v>
      </c>
      <c r="X55" s="4">
        <v>3.6200000000000003E-2</v>
      </c>
      <c r="AE55" s="5"/>
    </row>
    <row r="56" spans="1:42">
      <c r="A56" s="47" t="s">
        <v>213</v>
      </c>
      <c r="B56" s="47"/>
      <c r="C56" t="s">
        <v>23</v>
      </c>
      <c r="D56" s="57">
        <v>14054467.35</v>
      </c>
      <c r="E56" s="57">
        <f t="shared" si="6"/>
        <v>14054000</v>
      </c>
      <c r="F56" s="57">
        <f t="shared" si="9"/>
        <v>0</v>
      </c>
      <c r="I56" s="3">
        <v>19.75</v>
      </c>
      <c r="J56" s="46" t="s">
        <v>214</v>
      </c>
      <c r="K56" s="5">
        <v>38840</v>
      </c>
      <c r="L56" s="5">
        <v>38899</v>
      </c>
      <c r="M56" s="5">
        <v>38899</v>
      </c>
      <c r="N56" s="5">
        <v>46113</v>
      </c>
      <c r="O56" s="78">
        <f>IFERROR(INDEX(refinancements!$G$2:$G$105,MATCH($A56,De,0)),"")</f>
        <v>39783</v>
      </c>
      <c r="P56" t="s">
        <v>20</v>
      </c>
      <c r="Q56" t="s">
        <v>189</v>
      </c>
      <c r="R56" s="56">
        <f t="shared" si="7"/>
        <v>2006</v>
      </c>
      <c r="S56" s="56">
        <f t="shared" si="3"/>
        <v>2006</v>
      </c>
      <c r="T56" s="91">
        <f t="shared" si="4"/>
        <v>0</v>
      </c>
      <c r="U56" s="80" t="str">
        <f t="shared" si="8"/>
        <v>Struct</v>
      </c>
      <c r="V56" s="6">
        <v>1</v>
      </c>
      <c r="X56" s="4">
        <v>3.3399999999999999E-2</v>
      </c>
      <c r="AE56" s="5"/>
      <c r="AF56" t="s">
        <v>292</v>
      </c>
      <c r="AG56" t="s">
        <v>295</v>
      </c>
      <c r="AH56" s="23" t="s">
        <v>191</v>
      </c>
      <c r="AI56" s="4">
        <v>2E-3</v>
      </c>
      <c r="AJ56" s="4">
        <v>6.4000000000000001E-2</v>
      </c>
      <c r="AK56" t="s">
        <v>281</v>
      </c>
      <c r="AL56">
        <v>-5</v>
      </c>
    </row>
    <row r="57" spans="1:42">
      <c r="A57" s="47" t="s">
        <v>211</v>
      </c>
      <c r="B57" s="47"/>
      <c r="C57" t="s">
        <v>23</v>
      </c>
      <c r="D57" s="57">
        <v>16517587.16</v>
      </c>
      <c r="E57" s="57">
        <f t="shared" si="6"/>
        <v>16518000</v>
      </c>
      <c r="F57" s="57">
        <f t="shared" si="9"/>
        <v>0</v>
      </c>
      <c r="I57" s="3">
        <v>20</v>
      </c>
      <c r="J57" s="46" t="s">
        <v>465</v>
      </c>
      <c r="K57" s="5">
        <v>38840</v>
      </c>
      <c r="L57" s="5">
        <v>38899</v>
      </c>
      <c r="M57" s="5">
        <v>38899</v>
      </c>
      <c r="N57" s="5">
        <v>46204</v>
      </c>
      <c r="O57" s="78">
        <f>IFERROR(INDEX(refinancements!$G$2:$G$105,MATCH($A57,De,0)),"")</f>
        <v>40737</v>
      </c>
      <c r="P57" t="s">
        <v>49</v>
      </c>
      <c r="Q57" t="s">
        <v>50</v>
      </c>
      <c r="R57" s="56">
        <f t="shared" si="7"/>
        <v>2006</v>
      </c>
      <c r="S57" s="56">
        <f t="shared" si="3"/>
        <v>2006</v>
      </c>
      <c r="T57" s="91">
        <f t="shared" si="4"/>
        <v>0</v>
      </c>
      <c r="U57" s="80" t="str">
        <f t="shared" si="8"/>
        <v>Struct</v>
      </c>
      <c r="V57" s="6">
        <v>1</v>
      </c>
      <c r="X57" s="4">
        <v>3.9399999999999998E-2</v>
      </c>
      <c r="AE57" s="5"/>
      <c r="AF57" t="s">
        <v>212</v>
      </c>
      <c r="AH57" s="23" t="s">
        <v>191</v>
      </c>
      <c r="AI57">
        <v>90</v>
      </c>
      <c r="AJ57" s="4">
        <v>3.9399999999999998E-2</v>
      </c>
      <c r="AK57" t="s">
        <v>466</v>
      </c>
      <c r="AL57">
        <v>0.2</v>
      </c>
    </row>
    <row r="58" spans="1:42">
      <c r="A58" s="47" t="s">
        <v>209</v>
      </c>
      <c r="B58" s="47"/>
      <c r="C58" t="s">
        <v>23</v>
      </c>
      <c r="D58" s="57">
        <v>7500000</v>
      </c>
      <c r="E58" s="57">
        <f t="shared" si="6"/>
        <v>0</v>
      </c>
      <c r="F58" s="57">
        <f t="shared" si="9"/>
        <v>0</v>
      </c>
      <c r="I58" s="3">
        <v>16.670000000000002</v>
      </c>
      <c r="J58" s="46" t="s">
        <v>210</v>
      </c>
      <c r="K58" s="5">
        <v>38849</v>
      </c>
      <c r="L58" s="5">
        <v>38849</v>
      </c>
      <c r="M58" s="5">
        <v>38849</v>
      </c>
      <c r="N58" s="5">
        <v>44896</v>
      </c>
      <c r="O58" s="78">
        <f>IFERROR(INDEX(refinancements!$G$2:$G$105,MATCH($A58,De,0)),"")</f>
        <v>39539</v>
      </c>
      <c r="P58" t="s">
        <v>12</v>
      </c>
      <c r="Q58" t="s">
        <v>13</v>
      </c>
      <c r="R58" s="56">
        <f t="shared" si="7"/>
        <v>2006</v>
      </c>
      <c r="S58" s="56">
        <f t="shared" si="3"/>
        <v>2006</v>
      </c>
      <c r="T58" s="91">
        <f t="shared" si="4"/>
        <v>2691780.8219178086</v>
      </c>
      <c r="U58" s="80" t="str">
        <f t="shared" si="8"/>
        <v>Non_st</v>
      </c>
      <c r="V58" s="6">
        <v>1</v>
      </c>
      <c r="W58" s="6">
        <v>1</v>
      </c>
      <c r="X58" s="4">
        <v>4.2599999999999999E-2</v>
      </c>
      <c r="AE58" s="5"/>
    </row>
    <row r="59" spans="1:42" s="63" customFormat="1">
      <c r="A59" s="50" t="s">
        <v>501</v>
      </c>
      <c r="B59" s="50"/>
      <c r="C59" t="s">
        <v>218</v>
      </c>
      <c r="D59" s="57">
        <v>10000000</v>
      </c>
      <c r="E59" s="57">
        <f t="shared" si="6"/>
        <v>0</v>
      </c>
      <c r="F59" s="57">
        <f t="shared" si="9"/>
        <v>0</v>
      </c>
      <c r="G59" s="64"/>
      <c r="H59" s="64"/>
      <c r="I59" s="65">
        <v>20</v>
      </c>
      <c r="J59" s="66"/>
      <c r="K59" s="67">
        <v>39043</v>
      </c>
      <c r="L59" s="67">
        <v>39043</v>
      </c>
      <c r="M59" s="67">
        <v>39043</v>
      </c>
      <c r="N59" s="67">
        <v>46347</v>
      </c>
      <c r="O59" s="78">
        <f>IFERROR(INDEX(refinancements!$G$2:$G$105,MATCH($A59,De,0)),"")</f>
        <v>39356</v>
      </c>
      <c r="P59" s="63" t="s">
        <v>83</v>
      </c>
      <c r="Q59" s="63" t="s">
        <v>13</v>
      </c>
      <c r="R59" s="56">
        <f t="shared" si="7"/>
        <v>2006</v>
      </c>
      <c r="S59" s="56">
        <f t="shared" si="3"/>
        <v>2006</v>
      </c>
      <c r="T59" s="91">
        <f t="shared" si="4"/>
        <v>8904109.5890410952</v>
      </c>
      <c r="U59" s="80" t="str">
        <f t="shared" si="8"/>
        <v>Non_st</v>
      </c>
      <c r="V59" s="68">
        <v>0</v>
      </c>
      <c r="W59" s="68"/>
      <c r="X59" s="69"/>
      <c r="AB59" s="69"/>
      <c r="AC59" s="69"/>
      <c r="AE59" s="67"/>
      <c r="AH59" s="70"/>
      <c r="AM59" s="69"/>
      <c r="AN59" s="69"/>
      <c r="AO59" s="69"/>
    </row>
    <row r="60" spans="1:42">
      <c r="A60" s="47" t="s">
        <v>502</v>
      </c>
      <c r="B60" s="47"/>
      <c r="C60" t="s">
        <v>218</v>
      </c>
      <c r="D60" s="57">
        <v>5000000</v>
      </c>
      <c r="E60" s="57">
        <f t="shared" si="6"/>
        <v>5000000</v>
      </c>
      <c r="F60" s="57">
        <f t="shared" si="9"/>
        <v>0</v>
      </c>
      <c r="I60" s="3">
        <v>20.079999999999998</v>
      </c>
      <c r="J60" s="46" t="s">
        <v>219</v>
      </c>
      <c r="K60" s="5">
        <v>39052</v>
      </c>
      <c r="L60" s="5">
        <v>39052</v>
      </c>
      <c r="M60" s="108">
        <v>39356</v>
      </c>
      <c r="N60" s="5">
        <v>46388</v>
      </c>
      <c r="O60" s="78">
        <f>IFERROR(INDEX(refinancements!$G$2:$G$105,MATCH($A60,De,0)),"")</f>
        <v>40452</v>
      </c>
      <c r="P60" t="s">
        <v>220</v>
      </c>
      <c r="Q60" t="s">
        <v>221</v>
      </c>
      <c r="R60" s="56">
        <f t="shared" si="7"/>
        <v>2006</v>
      </c>
      <c r="S60" s="56">
        <f t="shared" si="3"/>
        <v>2007</v>
      </c>
      <c r="T60" s="91">
        <f t="shared" si="4"/>
        <v>0</v>
      </c>
      <c r="U60" s="80" t="str">
        <f t="shared" si="8"/>
        <v>Struct</v>
      </c>
      <c r="V60" s="6">
        <v>1</v>
      </c>
      <c r="X60" s="4">
        <v>4.9000000000000002E-2</v>
      </c>
      <c r="Y60" t="s">
        <v>319</v>
      </c>
      <c r="AA60">
        <v>-5</v>
      </c>
      <c r="AB60" s="4">
        <v>0</v>
      </c>
      <c r="AC60" s="4" t="s">
        <v>320</v>
      </c>
      <c r="AD60" s="6">
        <v>5</v>
      </c>
      <c r="AE60" s="5"/>
      <c r="AN60" s="4">
        <v>0</v>
      </c>
    </row>
    <row r="61" spans="1:42">
      <c r="A61" s="47" t="s">
        <v>503</v>
      </c>
      <c r="B61" s="47"/>
      <c r="C61" t="s">
        <v>218</v>
      </c>
      <c r="D61" s="57">
        <v>3000000</v>
      </c>
      <c r="E61" s="57">
        <f t="shared" si="6"/>
        <v>3000000</v>
      </c>
      <c r="F61" s="57">
        <f t="shared" si="9"/>
        <v>0</v>
      </c>
      <c r="I61" s="3">
        <v>20</v>
      </c>
      <c r="J61" s="46" t="s">
        <v>467</v>
      </c>
      <c r="K61" s="5">
        <v>39052</v>
      </c>
      <c r="L61" s="5">
        <v>39052</v>
      </c>
      <c r="M61" s="108">
        <v>39356</v>
      </c>
      <c r="N61" s="5">
        <v>46357</v>
      </c>
      <c r="O61" s="78">
        <f>IFERROR(INDEX(refinancements!$G$2:$G$105,MATCH($A61,De,0)),"")</f>
        <v>40513</v>
      </c>
      <c r="P61" t="s">
        <v>93</v>
      </c>
      <c r="Q61" t="s">
        <v>94</v>
      </c>
      <c r="R61" s="56">
        <f t="shared" si="7"/>
        <v>2006</v>
      </c>
      <c r="S61" s="56">
        <f t="shared" si="3"/>
        <v>2007</v>
      </c>
      <c r="T61" s="91">
        <f t="shared" si="4"/>
        <v>0</v>
      </c>
      <c r="U61" s="80" t="str">
        <f t="shared" si="8"/>
        <v>Struct</v>
      </c>
      <c r="V61" s="6">
        <v>1</v>
      </c>
      <c r="X61" s="4">
        <v>0.04</v>
      </c>
      <c r="AF61" t="s">
        <v>95</v>
      </c>
      <c r="AH61" s="23" t="s">
        <v>192</v>
      </c>
      <c r="AI61" s="4">
        <v>0.04</v>
      </c>
      <c r="AK61" t="s">
        <v>95</v>
      </c>
      <c r="AL61">
        <v>1.85</v>
      </c>
      <c r="AM61" s="4">
        <v>0</v>
      </c>
    </row>
    <row r="62" spans="1:42">
      <c r="A62" s="47" t="s">
        <v>504</v>
      </c>
      <c r="B62" s="47"/>
      <c r="C62" t="s">
        <v>218</v>
      </c>
      <c r="D62" s="57">
        <v>2000000</v>
      </c>
      <c r="E62" s="57">
        <f t="shared" si="6"/>
        <v>2000000</v>
      </c>
      <c r="F62" s="57">
        <f t="shared" si="9"/>
        <v>0</v>
      </c>
      <c r="I62" s="3">
        <v>20</v>
      </c>
      <c r="J62" s="46" t="s">
        <v>468</v>
      </c>
      <c r="K62" s="5">
        <v>39326</v>
      </c>
      <c r="L62" s="5">
        <v>39326</v>
      </c>
      <c r="M62" s="108">
        <v>39356</v>
      </c>
      <c r="N62" s="5">
        <v>46631</v>
      </c>
      <c r="O62" s="78">
        <f>IFERROR(INDEX(refinancements!$G$2:$G$105,MATCH($A62,De,0)),"")</f>
        <v>40422</v>
      </c>
      <c r="P62" t="s">
        <v>229</v>
      </c>
      <c r="Q62" t="s">
        <v>230</v>
      </c>
      <c r="R62" s="56">
        <f t="shared" si="7"/>
        <v>2007</v>
      </c>
      <c r="S62" s="56">
        <f t="shared" si="3"/>
        <v>2007</v>
      </c>
      <c r="T62" s="91">
        <f t="shared" si="4"/>
        <v>0</v>
      </c>
      <c r="U62" s="80" t="str">
        <f t="shared" si="8"/>
        <v>Struct</v>
      </c>
      <c r="V62" s="6">
        <v>1</v>
      </c>
      <c r="X62" s="4">
        <v>3.56E-2</v>
      </c>
      <c r="AE62" s="5"/>
      <c r="AF62" t="s">
        <v>245</v>
      </c>
      <c r="AG62" t="s">
        <v>294</v>
      </c>
      <c r="AH62" s="23" t="s">
        <v>191</v>
      </c>
      <c r="AI62" s="4">
        <v>0</v>
      </c>
      <c r="AJ62" s="4">
        <v>5.3999999999999999E-2</v>
      </c>
      <c r="AK62" t="s">
        <v>469</v>
      </c>
      <c r="AL62">
        <v>-5</v>
      </c>
      <c r="AP62" t="s">
        <v>673</v>
      </c>
    </row>
    <row r="63" spans="1:42">
      <c r="A63" s="50" t="s">
        <v>479</v>
      </c>
      <c r="B63" s="50"/>
      <c r="C63" t="s">
        <v>17</v>
      </c>
      <c r="D63" s="57">
        <v>5000000</v>
      </c>
      <c r="E63" s="57">
        <f t="shared" si="6"/>
        <v>0</v>
      </c>
      <c r="F63" s="57">
        <f t="shared" si="9"/>
        <v>0</v>
      </c>
      <c r="I63" s="3">
        <v>20</v>
      </c>
      <c r="J63" s="46" t="s">
        <v>480</v>
      </c>
      <c r="K63" s="5">
        <v>39050</v>
      </c>
      <c r="L63" s="5">
        <v>39050</v>
      </c>
      <c r="M63" s="5">
        <v>39050</v>
      </c>
      <c r="N63" s="5">
        <v>46354</v>
      </c>
      <c r="O63" s="78">
        <f>IFERROR(INDEX(refinancements!$G$2:$G$105,MATCH($A63,De,0)),"")</f>
        <v>40142</v>
      </c>
      <c r="P63" t="s">
        <v>20</v>
      </c>
      <c r="Q63" t="s">
        <v>189</v>
      </c>
      <c r="R63" s="56">
        <f t="shared" si="7"/>
        <v>2006</v>
      </c>
      <c r="S63" s="56">
        <f t="shared" si="3"/>
        <v>2006</v>
      </c>
      <c r="T63" s="91">
        <f t="shared" si="4"/>
        <v>4547945.2054794524</v>
      </c>
      <c r="U63" s="80" t="str">
        <f t="shared" si="8"/>
        <v>Struct</v>
      </c>
      <c r="V63" s="6">
        <v>4</v>
      </c>
      <c r="X63" s="4">
        <v>3.8899999999999997E-2</v>
      </c>
      <c r="AE63" s="5"/>
      <c r="AF63" t="s">
        <v>292</v>
      </c>
      <c r="AG63" t="s">
        <v>295</v>
      </c>
      <c r="AH63" s="23" t="s">
        <v>191</v>
      </c>
      <c r="AI63" s="4">
        <v>0</v>
      </c>
      <c r="AJ63" s="4">
        <v>5.5E-2</v>
      </c>
      <c r="AK63" t="s">
        <v>281</v>
      </c>
      <c r="AL63">
        <v>-5</v>
      </c>
    </row>
    <row r="64" spans="1:42">
      <c r="A64" s="47" t="s">
        <v>222</v>
      </c>
      <c r="B64" s="47"/>
      <c r="C64" t="s">
        <v>23</v>
      </c>
      <c r="D64" s="57">
        <v>20001887.469999999</v>
      </c>
      <c r="E64" s="57">
        <f t="shared" si="6"/>
        <v>20002000</v>
      </c>
      <c r="F64" s="57">
        <f t="shared" si="9"/>
        <v>0</v>
      </c>
      <c r="I64" s="3">
        <v>18.75</v>
      </c>
      <c r="J64" s="46" t="s">
        <v>470</v>
      </c>
      <c r="K64" s="5">
        <v>39108</v>
      </c>
      <c r="L64" s="5">
        <v>39114</v>
      </c>
      <c r="M64" s="5">
        <v>39114</v>
      </c>
      <c r="N64" s="5">
        <v>45689</v>
      </c>
      <c r="O64" s="78">
        <f>IFERROR(INDEX(refinancements!$G$2:$G$105,MATCH($A64,De,0)),"")</f>
        <v>39668</v>
      </c>
      <c r="P64" t="s">
        <v>49</v>
      </c>
      <c r="Q64" t="s">
        <v>50</v>
      </c>
      <c r="R64" s="56">
        <f t="shared" si="7"/>
        <v>2007</v>
      </c>
      <c r="S64" s="56">
        <f t="shared" si="3"/>
        <v>2007</v>
      </c>
      <c r="T64" s="91">
        <f t="shared" si="4"/>
        <v>0</v>
      </c>
      <c r="U64" s="80" t="str">
        <f t="shared" si="8"/>
        <v>Struct</v>
      </c>
      <c r="V64" s="6">
        <v>1</v>
      </c>
      <c r="X64" s="4">
        <v>2.98E-2</v>
      </c>
      <c r="AE64" s="5"/>
      <c r="AF64" t="s">
        <v>200</v>
      </c>
      <c r="AG64" t="s">
        <v>234</v>
      </c>
      <c r="AH64" s="23" t="s">
        <v>191</v>
      </c>
      <c r="AI64" s="4">
        <v>0</v>
      </c>
      <c r="AJ64" s="4">
        <v>2.98E-2</v>
      </c>
      <c r="AK64" t="s">
        <v>471</v>
      </c>
      <c r="AL64">
        <v>0.35</v>
      </c>
    </row>
    <row r="65" spans="1:42">
      <c r="A65" s="47" t="s">
        <v>227</v>
      </c>
      <c r="B65" s="47"/>
      <c r="C65" t="s">
        <v>23</v>
      </c>
      <c r="D65" s="57">
        <v>16991098.010000002</v>
      </c>
      <c r="E65" s="57">
        <f t="shared" si="6"/>
        <v>16991000</v>
      </c>
      <c r="F65" s="57">
        <f t="shared" si="9"/>
        <v>0</v>
      </c>
      <c r="I65" s="3">
        <v>17</v>
      </c>
      <c r="J65" s="46" t="s">
        <v>472</v>
      </c>
      <c r="K65" s="5">
        <v>39190</v>
      </c>
      <c r="L65" s="5">
        <v>39203</v>
      </c>
      <c r="M65" s="5">
        <v>39203</v>
      </c>
      <c r="N65" s="5">
        <v>45413</v>
      </c>
      <c r="O65" s="78">
        <f>IFERROR(INDEX(refinancements!$G$2:$G$105,MATCH($A65,De,0)),"")</f>
        <v>40176</v>
      </c>
      <c r="P65" t="s">
        <v>229</v>
      </c>
      <c r="Q65" t="s">
        <v>230</v>
      </c>
      <c r="R65" s="56">
        <f t="shared" si="7"/>
        <v>2007</v>
      </c>
      <c r="S65" s="56">
        <f t="shared" si="3"/>
        <v>2007</v>
      </c>
      <c r="T65" s="91">
        <f t="shared" si="4"/>
        <v>0</v>
      </c>
      <c r="U65" s="80" t="str">
        <f t="shared" si="8"/>
        <v>Struct</v>
      </c>
      <c r="V65" s="6">
        <v>1</v>
      </c>
      <c r="X65" s="4">
        <v>3.7999999999999999E-2</v>
      </c>
      <c r="AE65" s="5"/>
      <c r="AF65" t="s">
        <v>245</v>
      </c>
      <c r="AG65" t="s">
        <v>294</v>
      </c>
      <c r="AH65" s="23" t="s">
        <v>191</v>
      </c>
      <c r="AI65" s="4">
        <v>-1E-3</v>
      </c>
      <c r="AJ65" s="4">
        <v>4.8000000000000001E-2</v>
      </c>
      <c r="AK65" t="s">
        <v>469</v>
      </c>
      <c r="AL65">
        <v>-5</v>
      </c>
    </row>
    <row r="66" spans="1:42">
      <c r="A66" s="47" t="s">
        <v>231</v>
      </c>
      <c r="B66" s="47"/>
      <c r="C66" t="s">
        <v>23</v>
      </c>
      <c r="D66" s="57">
        <v>14416749.02</v>
      </c>
      <c r="E66" s="57">
        <f t="shared" ref="E66:E97" si="10">SUMPRODUCT((Vers=$A66)*Montant_transfere)</f>
        <v>14416000</v>
      </c>
      <c r="F66" s="57">
        <f t="shared" si="9"/>
        <v>0</v>
      </c>
      <c r="I66" s="3">
        <v>16.920000000000002</v>
      </c>
      <c r="J66" s="46" t="s">
        <v>232</v>
      </c>
      <c r="K66" s="5">
        <v>39190</v>
      </c>
      <c r="L66" s="5">
        <v>39203</v>
      </c>
      <c r="M66" s="5">
        <v>39203</v>
      </c>
      <c r="N66" s="5">
        <v>45383</v>
      </c>
      <c r="O66" s="78">
        <f>IFERROR(INDEX(refinancements!$G$2:$G$105,MATCH($A66,De,0)),"")</f>
        <v>40176</v>
      </c>
      <c r="P66" t="s">
        <v>220</v>
      </c>
      <c r="Q66" t="s">
        <v>221</v>
      </c>
      <c r="R66" s="56">
        <f t="shared" ref="R66:R101" si="11">YEAR(K66)</f>
        <v>2007</v>
      </c>
      <c r="S66" s="56">
        <f t="shared" si="3"/>
        <v>2007</v>
      </c>
      <c r="T66" s="91">
        <f t="shared" si="4"/>
        <v>328.76712328767121</v>
      </c>
      <c r="U66" s="80" t="str">
        <f t="shared" ref="U66:U97" si="12">IF(Q66="1A",IF(P66="Livret A","Livr_A",IF(SUMPRODUCT((Vers=$A66)*De_non_1A)&gt;0,IF(H66&gt;1,"Restr_aidé","Restr_sec"),"Non_st")),"Struct")</f>
        <v>Struct</v>
      </c>
      <c r="V66" s="6">
        <v>1</v>
      </c>
      <c r="X66" s="4">
        <v>5.16E-2</v>
      </c>
      <c r="Y66" t="s">
        <v>319</v>
      </c>
      <c r="AA66">
        <v>-5</v>
      </c>
      <c r="AB66" s="4">
        <v>0</v>
      </c>
      <c r="AC66" s="4" t="s">
        <v>320</v>
      </c>
      <c r="AD66" s="6">
        <v>5</v>
      </c>
      <c r="AE66" s="5"/>
      <c r="AN66" s="4">
        <v>0</v>
      </c>
    </row>
    <row r="67" spans="1:42">
      <c r="A67" s="47" t="s">
        <v>223</v>
      </c>
      <c r="B67" s="47"/>
      <c r="C67" t="s">
        <v>34</v>
      </c>
      <c r="D67" s="57">
        <v>5000000</v>
      </c>
      <c r="E67" s="57">
        <f t="shared" si="10"/>
        <v>0</v>
      </c>
      <c r="F67" s="57">
        <f t="shared" si="9"/>
        <v>0</v>
      </c>
      <c r="I67" s="3">
        <v>20</v>
      </c>
      <c r="J67" s="46" t="s">
        <v>224</v>
      </c>
      <c r="K67" s="5">
        <v>39176</v>
      </c>
      <c r="L67" s="5">
        <v>39182</v>
      </c>
      <c r="M67" s="5">
        <v>39182</v>
      </c>
      <c r="N67" s="5">
        <v>46813</v>
      </c>
      <c r="O67" s="78" t="str">
        <f>IFERROR(INDEX(refinancements!$G$2:$G$105,MATCH($A67,De,0)),"")</f>
        <v/>
      </c>
      <c r="P67" t="s">
        <v>20</v>
      </c>
      <c r="Q67" t="s">
        <v>50</v>
      </c>
      <c r="R67" s="56">
        <f t="shared" si="11"/>
        <v>2007</v>
      </c>
      <c r="S67" s="56">
        <f t="shared" ref="S67:S131" si="13">YEAR(M67)</f>
        <v>2007</v>
      </c>
      <c r="T67" s="91">
        <f t="shared" ref="T67:T130" si="14">(M67-DATE(S67,1,1))/365*(ROUND(D67,-3)-E67)</f>
        <v>1356164.3835616438</v>
      </c>
      <c r="U67" s="80" t="str">
        <f t="shared" si="12"/>
        <v>Struct</v>
      </c>
      <c r="V67" s="6">
        <v>1</v>
      </c>
      <c r="X67" s="4">
        <v>3.5000000000000003E-2</v>
      </c>
      <c r="AE67" s="5"/>
      <c r="AF67" t="s">
        <v>292</v>
      </c>
      <c r="AG67" t="s">
        <v>294</v>
      </c>
      <c r="AH67" s="23" t="s">
        <v>191</v>
      </c>
      <c r="AI67" s="4">
        <v>4.4000000000000003E-3</v>
      </c>
      <c r="AJ67" s="4">
        <v>7.9000000000000001E-2</v>
      </c>
      <c r="AK67" t="s">
        <v>282</v>
      </c>
      <c r="AL67">
        <v>-10</v>
      </c>
      <c r="AO67" s="4">
        <v>7.9000000000000001E-2</v>
      </c>
    </row>
    <row r="68" spans="1:42">
      <c r="A68" s="47" t="s">
        <v>225</v>
      </c>
      <c r="B68" s="47"/>
      <c r="C68" t="s">
        <v>23</v>
      </c>
      <c r="D68" s="57">
        <v>13760792.98</v>
      </c>
      <c r="E68" s="57">
        <f t="shared" si="10"/>
        <v>9761000</v>
      </c>
      <c r="F68" s="57">
        <f t="shared" ref="F68:F99" si="15">SUMPRODUCT((Vers=A68)*IRA_en_sus)</f>
        <v>0</v>
      </c>
      <c r="I68" s="3">
        <v>25.67</v>
      </c>
      <c r="J68" s="46" t="s">
        <v>226</v>
      </c>
      <c r="K68" s="5">
        <v>39191</v>
      </c>
      <c r="L68" s="5">
        <v>39182</v>
      </c>
      <c r="M68" s="108">
        <v>39539</v>
      </c>
      <c r="N68" s="5">
        <v>48519</v>
      </c>
      <c r="O68" s="78">
        <f>IFERROR(INDEX(refinancements!$G$2:$G$105,MATCH($A68,De,0)),"")</f>
        <v>40118</v>
      </c>
      <c r="P68" t="s">
        <v>20</v>
      </c>
      <c r="Q68" t="s">
        <v>189</v>
      </c>
      <c r="R68" s="56">
        <f t="shared" si="11"/>
        <v>2007</v>
      </c>
      <c r="S68" s="56">
        <f t="shared" si="13"/>
        <v>2008</v>
      </c>
      <c r="T68" s="91">
        <f t="shared" si="14"/>
        <v>997260.27397260279</v>
      </c>
      <c r="U68" s="80" t="str">
        <f t="shared" si="12"/>
        <v>Struct</v>
      </c>
      <c r="V68" s="6">
        <v>1</v>
      </c>
      <c r="X68" s="4">
        <v>3.7400000000000003E-2</v>
      </c>
      <c r="AE68" s="5"/>
      <c r="AF68" t="s">
        <v>292</v>
      </c>
      <c r="AG68" t="s">
        <v>297</v>
      </c>
      <c r="AH68" s="23" t="s">
        <v>191</v>
      </c>
      <c r="AI68" s="4">
        <v>0</v>
      </c>
      <c r="AJ68" s="4">
        <v>5.74E-2</v>
      </c>
      <c r="AK68" t="s">
        <v>283</v>
      </c>
      <c r="AL68">
        <v>-5</v>
      </c>
    </row>
    <row r="69" spans="1:42">
      <c r="A69" s="47" t="s">
        <v>233</v>
      </c>
      <c r="B69" s="47"/>
      <c r="C69" t="s">
        <v>218</v>
      </c>
      <c r="D69" s="57">
        <v>4000000</v>
      </c>
      <c r="E69" s="57">
        <f t="shared" si="10"/>
        <v>0</v>
      </c>
      <c r="F69" s="57">
        <f t="shared" si="15"/>
        <v>0</v>
      </c>
      <c r="I69" s="3">
        <v>19</v>
      </c>
      <c r="J69" s="46" t="s">
        <v>473</v>
      </c>
      <c r="K69" s="5">
        <v>39209</v>
      </c>
      <c r="L69" s="5">
        <v>39226</v>
      </c>
      <c r="M69" s="5">
        <v>39226</v>
      </c>
      <c r="N69" s="5">
        <v>46478</v>
      </c>
      <c r="O69" s="78">
        <f>IFERROR(INDEX(refinancements!$G$2:$G$105,MATCH($A69,De,0)),"")</f>
        <v>39904</v>
      </c>
      <c r="P69" t="s">
        <v>49</v>
      </c>
      <c r="Q69" t="s">
        <v>50</v>
      </c>
      <c r="R69" s="56">
        <f t="shared" si="11"/>
        <v>2007</v>
      </c>
      <c r="S69" s="56">
        <f t="shared" si="13"/>
        <v>2007</v>
      </c>
      <c r="T69" s="91">
        <f t="shared" si="14"/>
        <v>1567123.2876712328</v>
      </c>
      <c r="U69" s="80" t="str">
        <f t="shared" si="12"/>
        <v>Struct</v>
      </c>
      <c r="V69" s="6">
        <v>1</v>
      </c>
      <c r="X69" s="4">
        <v>3.2500000000000001E-2</v>
      </c>
      <c r="AE69" s="5"/>
      <c r="AF69" t="s">
        <v>234</v>
      </c>
      <c r="AH69" s="23" t="s">
        <v>192</v>
      </c>
      <c r="AI69">
        <v>1.54</v>
      </c>
      <c r="AJ69" s="4">
        <v>4.7E-2</v>
      </c>
      <c r="AK69" t="s">
        <v>474</v>
      </c>
      <c r="AL69">
        <v>0.5</v>
      </c>
    </row>
    <row r="70" spans="1:42">
      <c r="A70" s="47" t="s">
        <v>235</v>
      </c>
      <c r="B70" s="47"/>
      <c r="C70" t="s">
        <v>17</v>
      </c>
      <c r="D70" s="57">
        <v>15000869.08</v>
      </c>
      <c r="E70" s="57">
        <f t="shared" si="10"/>
        <v>15001000</v>
      </c>
      <c r="F70" s="57">
        <f t="shared" si="15"/>
        <v>0</v>
      </c>
      <c r="I70" s="3">
        <v>18.579999999999998</v>
      </c>
      <c r="J70" s="46" t="s">
        <v>236</v>
      </c>
      <c r="K70" s="5">
        <v>39288</v>
      </c>
      <c r="L70" s="5">
        <v>39288</v>
      </c>
      <c r="M70" s="5">
        <v>39288</v>
      </c>
      <c r="N70" s="5">
        <v>46078</v>
      </c>
      <c r="O70" s="78">
        <f>IFERROR(INDEX(refinancements!$G$2:$G$105,MATCH($A70,De,0)),"")</f>
        <v>40964</v>
      </c>
      <c r="P70" t="s">
        <v>229</v>
      </c>
      <c r="Q70" t="s">
        <v>238</v>
      </c>
      <c r="R70" s="56">
        <f t="shared" si="11"/>
        <v>2007</v>
      </c>
      <c r="S70" s="56">
        <f t="shared" si="13"/>
        <v>2007</v>
      </c>
      <c r="T70" s="91">
        <f t="shared" si="14"/>
        <v>0</v>
      </c>
      <c r="U70" s="80" t="str">
        <f t="shared" si="12"/>
        <v>Struct</v>
      </c>
      <c r="V70" s="6">
        <v>1</v>
      </c>
      <c r="X70" s="4">
        <v>0.28039999999999998</v>
      </c>
      <c r="Y70" t="s">
        <v>245</v>
      </c>
      <c r="AA70">
        <v>-5</v>
      </c>
      <c r="AC70" s="4" t="s">
        <v>321</v>
      </c>
      <c r="AD70">
        <v>5</v>
      </c>
      <c r="AE70" s="5"/>
      <c r="AN70" s="4">
        <v>0.03</v>
      </c>
      <c r="AO70" s="4">
        <v>0.11</v>
      </c>
    </row>
    <row r="71" spans="1:42">
      <c r="A71" s="47" t="s">
        <v>250</v>
      </c>
      <c r="B71" s="47"/>
      <c r="C71" t="s">
        <v>17</v>
      </c>
      <c r="D71" s="57">
        <v>5000000</v>
      </c>
      <c r="E71" s="57">
        <f t="shared" si="10"/>
        <v>0</v>
      </c>
      <c r="F71" s="57">
        <f t="shared" si="15"/>
        <v>0</v>
      </c>
      <c r="I71" s="3">
        <v>20</v>
      </c>
      <c r="J71" s="46" t="s">
        <v>475</v>
      </c>
      <c r="K71" s="5">
        <v>39296</v>
      </c>
      <c r="L71" s="5">
        <v>39405</v>
      </c>
      <c r="M71" s="108">
        <v>39447</v>
      </c>
      <c r="N71" s="5">
        <v>46808</v>
      </c>
      <c r="O71" s="78">
        <f>IFERROR(INDEX(refinancements!$G$2:$G$105,MATCH($A71,De,0)),"")</f>
        <v>41330</v>
      </c>
      <c r="P71" t="s">
        <v>229</v>
      </c>
      <c r="Q71" t="s">
        <v>238</v>
      </c>
      <c r="R71" s="56">
        <f t="shared" si="11"/>
        <v>2007</v>
      </c>
      <c r="S71" s="56">
        <f t="shared" si="13"/>
        <v>2007</v>
      </c>
      <c r="T71" s="91">
        <f t="shared" si="14"/>
        <v>4986301.3698630137</v>
      </c>
      <c r="U71" s="80" t="str">
        <f t="shared" si="12"/>
        <v>Struct</v>
      </c>
      <c r="V71" s="6">
        <v>1</v>
      </c>
      <c r="X71" s="4">
        <f>33.9%+4.9%</f>
        <v>0.38799999999999996</v>
      </c>
      <c r="Y71" t="s">
        <v>245</v>
      </c>
      <c r="AA71">
        <v>-10</v>
      </c>
      <c r="AC71" s="4" t="s">
        <v>321</v>
      </c>
      <c r="AD71">
        <v>10</v>
      </c>
      <c r="AE71" s="5"/>
      <c r="AN71" s="4">
        <v>0.03</v>
      </c>
      <c r="AO71" s="4">
        <v>0.11</v>
      </c>
    </row>
    <row r="72" spans="1:42">
      <c r="A72" s="47" t="s">
        <v>246</v>
      </c>
      <c r="B72" s="47"/>
      <c r="C72" t="s">
        <v>23</v>
      </c>
      <c r="D72" s="57">
        <f>8721943.16+2000000</f>
        <v>10721943.16</v>
      </c>
      <c r="E72" s="57">
        <f t="shared" si="10"/>
        <v>8722000</v>
      </c>
      <c r="F72" s="57">
        <f t="shared" si="15"/>
        <v>0</v>
      </c>
      <c r="I72" s="3">
        <v>25.42</v>
      </c>
      <c r="J72" s="46" t="s">
        <v>476</v>
      </c>
      <c r="K72" s="5">
        <v>39360</v>
      </c>
      <c r="L72" s="5">
        <v>39350</v>
      </c>
      <c r="M72" s="5">
        <v>39350</v>
      </c>
      <c r="N72" s="5">
        <v>48580</v>
      </c>
      <c r="O72" s="78">
        <f>IFERROR(INDEX(refinancements!$G$2:$G$105,MATCH($A72,De,0)),"")</f>
        <v>40179</v>
      </c>
      <c r="P72" t="s">
        <v>93</v>
      </c>
      <c r="Q72" t="s">
        <v>230</v>
      </c>
      <c r="R72" s="56">
        <f t="shared" si="11"/>
        <v>2007</v>
      </c>
      <c r="S72" s="56">
        <f t="shared" si="13"/>
        <v>2007</v>
      </c>
      <c r="T72" s="91">
        <f t="shared" si="14"/>
        <v>1463013.6986301369</v>
      </c>
      <c r="U72" s="80" t="str">
        <f t="shared" si="12"/>
        <v>Struct</v>
      </c>
      <c r="V72" s="6">
        <v>3</v>
      </c>
      <c r="X72" s="4"/>
      <c r="Y72" t="s">
        <v>66</v>
      </c>
      <c r="Z72" s="4">
        <v>0.05</v>
      </c>
      <c r="AB72" s="4">
        <v>-2E-3</v>
      </c>
      <c r="AE72" s="5"/>
      <c r="AF72" t="s">
        <v>37</v>
      </c>
      <c r="AH72" s="23" t="s">
        <v>192</v>
      </c>
      <c r="AI72" s="4">
        <v>7.2499999999999995E-2</v>
      </c>
      <c r="AK72" t="s">
        <v>478</v>
      </c>
      <c r="AN72" s="4">
        <v>0</v>
      </c>
      <c r="AP72" t="s">
        <v>661</v>
      </c>
    </row>
    <row r="73" spans="1:42">
      <c r="A73" s="48" t="s">
        <v>239</v>
      </c>
      <c r="B73" s="48"/>
      <c r="C73" t="s">
        <v>23</v>
      </c>
      <c r="D73" s="57">
        <v>14311242.439999999</v>
      </c>
      <c r="E73" s="57">
        <f t="shared" si="10"/>
        <v>12311000</v>
      </c>
      <c r="F73" s="57">
        <f t="shared" si="15"/>
        <v>0</v>
      </c>
      <c r="I73" s="3">
        <v>25</v>
      </c>
      <c r="J73" s="46" t="s">
        <v>240</v>
      </c>
      <c r="K73" s="5">
        <v>39352</v>
      </c>
      <c r="L73" s="5">
        <v>39324</v>
      </c>
      <c r="M73" s="5">
        <v>39324</v>
      </c>
      <c r="N73" s="5">
        <v>48670</v>
      </c>
      <c r="O73" s="78">
        <f>IFERROR(INDEX(refinancements!$G$2:$G$105,MATCH($A73,De,0)),"")</f>
        <v>40634</v>
      </c>
      <c r="P73" t="s">
        <v>229</v>
      </c>
      <c r="Q73" t="s">
        <v>241</v>
      </c>
      <c r="R73" s="56">
        <f t="shared" si="11"/>
        <v>2007</v>
      </c>
      <c r="S73" s="56">
        <f t="shared" si="13"/>
        <v>2007</v>
      </c>
      <c r="T73" s="91">
        <f t="shared" si="14"/>
        <v>1320547.9452054794</v>
      </c>
      <c r="U73" s="80" t="str">
        <f t="shared" si="12"/>
        <v>Struct</v>
      </c>
      <c r="V73" s="6">
        <v>0</v>
      </c>
      <c r="X73" s="4">
        <v>3.3000000000000002E-2</v>
      </c>
      <c r="AE73" s="5"/>
      <c r="AF73" t="s">
        <v>245</v>
      </c>
      <c r="AG73" t="s">
        <v>298</v>
      </c>
      <c r="AI73" s="4">
        <v>0.03</v>
      </c>
      <c r="AJ73" s="4">
        <v>3.3000000000000002E-2</v>
      </c>
      <c r="AL73">
        <v>5</v>
      </c>
    </row>
    <row r="74" spans="1:42">
      <c r="A74" s="48" t="s">
        <v>248</v>
      </c>
      <c r="B74" s="48"/>
      <c r="C74" t="s">
        <v>23</v>
      </c>
      <c r="D74" s="57">
        <v>9375000</v>
      </c>
      <c r="E74" s="57">
        <f t="shared" si="10"/>
        <v>7375000</v>
      </c>
      <c r="F74" s="57">
        <f t="shared" si="15"/>
        <v>0</v>
      </c>
      <c r="I74" s="3">
        <v>26.42</v>
      </c>
      <c r="J74" s="46" t="s">
        <v>249</v>
      </c>
      <c r="K74" s="5">
        <v>39352</v>
      </c>
      <c r="L74" s="5">
        <v>39352</v>
      </c>
      <c r="M74" s="108">
        <v>39539</v>
      </c>
      <c r="N74" s="5">
        <v>48914</v>
      </c>
      <c r="O74" s="78">
        <f>IFERROR(INDEX(refinancements!$G$2:$G$105,MATCH($A74,De,0)),"")</f>
        <v>39783</v>
      </c>
      <c r="P74" t="s">
        <v>49</v>
      </c>
      <c r="Q74" t="s">
        <v>50</v>
      </c>
      <c r="R74" s="56">
        <f t="shared" si="11"/>
        <v>2007</v>
      </c>
      <c r="S74" s="56">
        <f t="shared" si="13"/>
        <v>2008</v>
      </c>
      <c r="T74" s="91">
        <f t="shared" si="14"/>
        <v>498630.1369863014</v>
      </c>
      <c r="U74" s="80" t="str">
        <f t="shared" si="12"/>
        <v>Struct</v>
      </c>
      <c r="V74" s="6">
        <v>0</v>
      </c>
      <c r="X74" s="4">
        <v>3.6499999999999998E-2</v>
      </c>
      <c r="AE74" s="5"/>
      <c r="AF74" t="s">
        <v>234</v>
      </c>
      <c r="AI74" s="3">
        <v>1.5</v>
      </c>
      <c r="AJ74" s="4">
        <v>3.6499999999999998E-2</v>
      </c>
      <c r="AL74">
        <v>0.5</v>
      </c>
      <c r="AP74" t="s">
        <v>672</v>
      </c>
    </row>
    <row r="75" spans="1:42">
      <c r="A75" s="48" t="s">
        <v>251</v>
      </c>
      <c r="B75" s="48"/>
      <c r="C75" t="s">
        <v>23</v>
      </c>
      <c r="D75" s="57">
        <v>15538680.720000001</v>
      </c>
      <c r="E75" s="57">
        <f t="shared" si="10"/>
        <v>14538000</v>
      </c>
      <c r="F75" s="57">
        <f t="shared" si="15"/>
        <v>0</v>
      </c>
      <c r="I75" s="3">
        <v>20.83</v>
      </c>
      <c r="J75" s="46" t="s">
        <v>252</v>
      </c>
      <c r="K75" s="5">
        <v>39681</v>
      </c>
      <c r="L75" s="5">
        <v>39660</v>
      </c>
      <c r="M75" s="108">
        <v>40148</v>
      </c>
      <c r="N75" s="5">
        <v>47239</v>
      </c>
      <c r="O75" s="78">
        <f>IFERROR(INDEX(refinancements!$G$2:$G$105,MATCH($A75,De,0)),"")</f>
        <v>41030</v>
      </c>
      <c r="P75" t="s">
        <v>49</v>
      </c>
      <c r="Q75" t="s">
        <v>50</v>
      </c>
      <c r="R75" s="56">
        <f t="shared" si="11"/>
        <v>2008</v>
      </c>
      <c r="S75" s="56">
        <f t="shared" si="13"/>
        <v>2009</v>
      </c>
      <c r="T75" s="91">
        <f t="shared" si="14"/>
        <v>915983.56164383562</v>
      </c>
      <c r="U75" s="80" t="str">
        <f t="shared" si="12"/>
        <v>Struct</v>
      </c>
      <c r="V75" s="6">
        <v>0</v>
      </c>
      <c r="X75" s="4">
        <v>3.7999999999999999E-2</v>
      </c>
      <c r="AF75" t="s">
        <v>200</v>
      </c>
      <c r="AH75" s="23" t="s">
        <v>191</v>
      </c>
      <c r="AI75">
        <v>1.4550000000000001</v>
      </c>
      <c r="AJ75" s="4">
        <v>5.8000000000000003E-2</v>
      </c>
      <c r="AL75">
        <v>0.5</v>
      </c>
    </row>
    <row r="76" spans="1:42">
      <c r="A76" s="48" t="s">
        <v>253</v>
      </c>
      <c r="B76" s="48"/>
      <c r="C76" t="s">
        <v>23</v>
      </c>
      <c r="D76" s="57">
        <v>15538680.77</v>
      </c>
      <c r="E76" s="57">
        <f t="shared" si="10"/>
        <v>14539000</v>
      </c>
      <c r="F76" s="57">
        <f t="shared" si="15"/>
        <v>0</v>
      </c>
      <c r="I76" s="3">
        <v>20.83</v>
      </c>
      <c r="J76" s="46" t="s">
        <v>254</v>
      </c>
      <c r="K76" s="5">
        <v>39681</v>
      </c>
      <c r="L76" s="5">
        <v>39660</v>
      </c>
      <c r="M76" s="108">
        <v>40176</v>
      </c>
      <c r="N76" s="5">
        <v>47239</v>
      </c>
      <c r="O76" s="78">
        <f>IFERROR(INDEX(refinancements!$G$2:$G$105,MATCH($A76,De,0)),"")</f>
        <v>40299</v>
      </c>
      <c r="P76" t="s">
        <v>229</v>
      </c>
      <c r="Q76" t="s">
        <v>241</v>
      </c>
      <c r="R76" s="56">
        <f t="shared" si="11"/>
        <v>2008</v>
      </c>
      <c r="S76" s="56">
        <f t="shared" si="13"/>
        <v>2009</v>
      </c>
      <c r="T76" s="91">
        <f t="shared" si="14"/>
        <v>991780.82191780827</v>
      </c>
      <c r="U76" s="80" t="str">
        <f t="shared" si="12"/>
        <v>Struct</v>
      </c>
      <c r="V76" s="6">
        <v>0</v>
      </c>
      <c r="X76" s="4">
        <v>3.7999999999999999E-2</v>
      </c>
      <c r="AF76" t="s">
        <v>245</v>
      </c>
      <c r="AG76" t="s">
        <v>294</v>
      </c>
      <c r="AI76" s="4">
        <v>-1E-3</v>
      </c>
      <c r="AJ76" s="4">
        <v>5.2999999999999999E-2</v>
      </c>
      <c r="AL76">
        <v>5</v>
      </c>
    </row>
    <row r="77" spans="1:42">
      <c r="A77" s="48" t="s">
        <v>255</v>
      </c>
      <c r="B77" s="48"/>
      <c r="C77" t="s">
        <v>23</v>
      </c>
      <c r="D77" s="57">
        <v>11085434.300000001</v>
      </c>
      <c r="E77" s="57">
        <f t="shared" si="10"/>
        <v>8085000</v>
      </c>
      <c r="F77" s="57">
        <f t="shared" si="15"/>
        <v>0</v>
      </c>
      <c r="I77" s="3">
        <v>25.33</v>
      </c>
      <c r="J77" s="46" t="s">
        <v>259</v>
      </c>
      <c r="K77" s="5">
        <v>39681</v>
      </c>
      <c r="L77" s="5">
        <v>39668</v>
      </c>
      <c r="M77" s="5">
        <v>39668</v>
      </c>
      <c r="N77" s="5">
        <v>48884</v>
      </c>
      <c r="O77" s="78">
        <f>IFERROR(INDEX(refinancements!$G$2:$G$105,MATCH($A77,De,0)),"")</f>
        <v>40848</v>
      </c>
      <c r="P77" t="s">
        <v>49</v>
      </c>
      <c r="Q77" t="s">
        <v>50</v>
      </c>
      <c r="R77" s="56">
        <f t="shared" si="11"/>
        <v>2008</v>
      </c>
      <c r="S77" s="56">
        <f t="shared" si="13"/>
        <v>2008</v>
      </c>
      <c r="T77" s="91">
        <f t="shared" si="14"/>
        <v>1808219.1780821916</v>
      </c>
      <c r="U77" s="80" t="str">
        <f t="shared" si="12"/>
        <v>Struct</v>
      </c>
      <c r="V77" s="6">
        <v>0</v>
      </c>
      <c r="X77" s="4">
        <v>2.9700000000000001E-2</v>
      </c>
      <c r="AF77" t="s">
        <v>200</v>
      </c>
      <c r="AG77" t="s">
        <v>234</v>
      </c>
      <c r="AI77" s="3">
        <v>0</v>
      </c>
      <c r="AJ77" s="4">
        <v>2.9700000000000001E-2</v>
      </c>
      <c r="AL77">
        <v>0.33</v>
      </c>
    </row>
    <row r="78" spans="1:42">
      <c r="A78" s="48" t="s">
        <v>256</v>
      </c>
      <c r="B78" s="48"/>
      <c r="C78" t="s">
        <v>23</v>
      </c>
      <c r="D78" s="57">
        <v>11085434.220000001</v>
      </c>
      <c r="E78" s="57">
        <f t="shared" si="10"/>
        <v>9085000</v>
      </c>
      <c r="F78" s="57">
        <f t="shared" si="15"/>
        <v>0</v>
      </c>
      <c r="I78" s="3">
        <v>25.33</v>
      </c>
      <c r="J78" s="46" t="s">
        <v>260</v>
      </c>
      <c r="K78" s="5">
        <v>39681</v>
      </c>
      <c r="L78" s="5">
        <v>39668</v>
      </c>
      <c r="M78" s="5">
        <v>39668</v>
      </c>
      <c r="N78" s="5">
        <v>48884</v>
      </c>
      <c r="O78" s="78">
        <f>IFERROR(INDEX(refinancements!$G$2:$G$105,MATCH($A78,De,0)),"")</f>
        <v>41214</v>
      </c>
      <c r="P78" t="s">
        <v>49</v>
      </c>
      <c r="Q78" t="s">
        <v>50</v>
      </c>
      <c r="R78" s="56">
        <f t="shared" si="11"/>
        <v>2008</v>
      </c>
      <c r="S78" s="56">
        <f t="shared" si="13"/>
        <v>2008</v>
      </c>
      <c r="T78" s="91">
        <f t="shared" si="14"/>
        <v>1205479.4520547944</v>
      </c>
      <c r="U78" s="80" t="str">
        <f t="shared" si="12"/>
        <v>Struct</v>
      </c>
      <c r="V78" s="6">
        <v>0</v>
      </c>
      <c r="X78" s="4">
        <v>2.9600000000000001E-2</v>
      </c>
      <c r="AF78" t="s">
        <v>212</v>
      </c>
      <c r="AI78">
        <v>90</v>
      </c>
      <c r="AJ78" s="4">
        <v>4.9599999999999998E-2</v>
      </c>
      <c r="AL78">
        <v>0.34</v>
      </c>
    </row>
    <row r="79" spans="1:42">
      <c r="A79" s="48" t="s">
        <v>257</v>
      </c>
      <c r="B79" s="48"/>
      <c r="C79" t="s">
        <v>23</v>
      </c>
      <c r="D79" s="57">
        <v>8792725.3100000005</v>
      </c>
      <c r="E79" s="57">
        <f t="shared" si="10"/>
        <v>8792725.3100000005</v>
      </c>
      <c r="F79" s="57">
        <f t="shared" si="15"/>
        <v>0</v>
      </c>
      <c r="I79" s="3">
        <v>25</v>
      </c>
      <c r="J79" s="46" t="s">
        <v>260</v>
      </c>
      <c r="K79" s="5">
        <v>39681</v>
      </c>
      <c r="L79" s="5">
        <v>39668</v>
      </c>
      <c r="M79" s="108">
        <v>41214</v>
      </c>
      <c r="N79" s="5">
        <v>48884</v>
      </c>
      <c r="O79" s="78">
        <f>IFERROR(INDEX(refinancements!$G$2:$G$105,MATCH($A79,De,0)),"")</f>
        <v>43040</v>
      </c>
      <c r="P79" t="s">
        <v>49</v>
      </c>
      <c r="Q79" t="s">
        <v>50</v>
      </c>
      <c r="R79" s="56">
        <f t="shared" si="11"/>
        <v>2008</v>
      </c>
      <c r="S79" s="56">
        <f t="shared" si="13"/>
        <v>2012</v>
      </c>
      <c r="T79" s="91">
        <f t="shared" si="14"/>
        <v>229.53547945161898</v>
      </c>
      <c r="U79" s="80" t="str">
        <f t="shared" si="12"/>
        <v>Struct</v>
      </c>
      <c r="V79" s="6">
        <v>0</v>
      </c>
      <c r="X79" s="4">
        <v>2.9600000000000001E-2</v>
      </c>
      <c r="AF79" t="s">
        <v>212</v>
      </c>
      <c r="AI79">
        <v>90</v>
      </c>
      <c r="AJ79" s="4">
        <v>4.9599999999999998E-2</v>
      </c>
      <c r="AL79">
        <v>0.34</v>
      </c>
      <c r="AP79" t="s">
        <v>650</v>
      </c>
    </row>
    <row r="80" spans="1:42">
      <c r="A80" s="48" t="s">
        <v>261</v>
      </c>
      <c r="B80" s="48"/>
      <c r="C80" t="s">
        <v>23</v>
      </c>
      <c r="D80" s="57">
        <v>11246513</v>
      </c>
      <c r="E80" s="57">
        <f t="shared" si="10"/>
        <v>11247000</v>
      </c>
      <c r="F80" s="57">
        <f t="shared" si="15"/>
        <v>0</v>
      </c>
      <c r="I80" s="3">
        <v>17</v>
      </c>
      <c r="J80" s="46" t="s">
        <v>262</v>
      </c>
      <c r="K80" s="5">
        <v>39779</v>
      </c>
      <c r="L80" s="5">
        <v>39783</v>
      </c>
      <c r="M80" s="5">
        <v>39783</v>
      </c>
      <c r="N80" s="5">
        <v>45992</v>
      </c>
      <c r="O80" s="78">
        <f>IFERROR(INDEX(refinancements!$G$2:$G$105,MATCH($A80,De,0)),"")</f>
        <v>40513</v>
      </c>
      <c r="P80" t="s">
        <v>49</v>
      </c>
      <c r="Q80" t="s">
        <v>50</v>
      </c>
      <c r="R80" s="56">
        <f t="shared" si="11"/>
        <v>2008</v>
      </c>
      <c r="S80" s="56">
        <f t="shared" si="13"/>
        <v>2008</v>
      </c>
      <c r="T80" s="91">
        <f t="shared" si="14"/>
        <v>0</v>
      </c>
      <c r="U80" s="80" t="str">
        <f t="shared" si="12"/>
        <v>Struct</v>
      </c>
      <c r="V80" s="6">
        <v>0</v>
      </c>
      <c r="X80" s="4">
        <v>2.9899999999999999E-2</v>
      </c>
      <c r="AF80" t="s">
        <v>200</v>
      </c>
      <c r="AH80" s="23" t="s">
        <v>191</v>
      </c>
      <c r="AI80">
        <v>1.4450000000000001</v>
      </c>
      <c r="AJ80" s="4">
        <v>2.9899999999999999E-2</v>
      </c>
      <c r="AL80">
        <v>0.5</v>
      </c>
    </row>
    <row r="81" spans="1:42">
      <c r="A81" s="48" t="s">
        <v>263</v>
      </c>
      <c r="B81" s="48"/>
      <c r="C81" t="s">
        <v>23</v>
      </c>
      <c r="D81" s="57">
        <v>9000000</v>
      </c>
      <c r="E81" s="57">
        <f t="shared" si="10"/>
        <v>9000000</v>
      </c>
      <c r="F81" s="57">
        <f t="shared" si="15"/>
        <v>0</v>
      </c>
      <c r="I81" s="3">
        <v>25</v>
      </c>
      <c r="J81" s="46" t="s">
        <v>264</v>
      </c>
      <c r="K81" s="5">
        <v>39779</v>
      </c>
      <c r="L81" s="5">
        <v>39783</v>
      </c>
      <c r="M81" s="5">
        <v>39783</v>
      </c>
      <c r="N81" s="5">
        <v>48914</v>
      </c>
      <c r="O81" s="78">
        <f>IFERROR(INDEX(refinancements!$G$2:$G$105,MATCH($A81,De,0)),"")</f>
        <v>41244</v>
      </c>
      <c r="P81" t="s">
        <v>20</v>
      </c>
      <c r="Q81" t="s">
        <v>189</v>
      </c>
      <c r="R81" s="56">
        <f t="shared" si="11"/>
        <v>2008</v>
      </c>
      <c r="S81" s="56">
        <f t="shared" si="13"/>
        <v>2008</v>
      </c>
      <c r="T81" s="91">
        <f t="shared" si="14"/>
        <v>0</v>
      </c>
      <c r="U81" s="80" t="str">
        <f t="shared" si="12"/>
        <v>Struct</v>
      </c>
      <c r="V81" s="6">
        <v>1</v>
      </c>
      <c r="X81" s="4">
        <v>3.6499999999999998E-2</v>
      </c>
      <c r="AE81" s="5"/>
      <c r="AF81" t="s">
        <v>292</v>
      </c>
      <c r="AG81" t="s">
        <v>295</v>
      </c>
      <c r="AH81" s="23" t="s">
        <v>191</v>
      </c>
      <c r="AI81" s="4">
        <v>0</v>
      </c>
      <c r="AJ81" s="4">
        <v>6.1499999999999999E-2</v>
      </c>
      <c r="AK81" t="s">
        <v>281</v>
      </c>
      <c r="AL81">
        <v>-5</v>
      </c>
    </row>
    <row r="82" spans="1:42">
      <c r="A82" s="48" t="s">
        <v>265</v>
      </c>
      <c r="B82" s="48"/>
      <c r="C82" t="s">
        <v>23</v>
      </c>
      <c r="D82" s="57">
        <v>6000000</v>
      </c>
      <c r="E82" s="57">
        <f t="shared" si="10"/>
        <v>0</v>
      </c>
      <c r="F82" s="57">
        <f t="shared" si="15"/>
        <v>0</v>
      </c>
      <c r="I82" s="3">
        <v>20</v>
      </c>
      <c r="J82" s="46" t="s">
        <v>266</v>
      </c>
      <c r="K82" s="5">
        <v>39896</v>
      </c>
      <c r="L82" s="5">
        <v>39899</v>
      </c>
      <c r="M82" s="5">
        <v>39899</v>
      </c>
      <c r="N82" s="5">
        <v>47209</v>
      </c>
      <c r="O82" s="78" t="str">
        <f>IFERROR(INDEX(refinancements!$G$2:$G$105,MATCH($A82,De,0)),"")</f>
        <v/>
      </c>
      <c r="P82" t="s">
        <v>12</v>
      </c>
      <c r="Q82" t="s">
        <v>13</v>
      </c>
      <c r="R82" s="56">
        <f t="shared" si="11"/>
        <v>2009</v>
      </c>
      <c r="S82" s="56">
        <f t="shared" si="13"/>
        <v>2009</v>
      </c>
      <c r="T82" s="91">
        <f t="shared" si="14"/>
        <v>1397260.2739726026</v>
      </c>
      <c r="U82" s="80" t="str">
        <f t="shared" si="12"/>
        <v>Non_st</v>
      </c>
      <c r="V82" s="6">
        <v>1</v>
      </c>
      <c r="W82" s="6">
        <v>1</v>
      </c>
      <c r="X82" s="4">
        <v>4.48E-2</v>
      </c>
    </row>
    <row r="83" spans="1:42">
      <c r="A83" s="48" t="s">
        <v>267</v>
      </c>
      <c r="B83" s="48"/>
      <c r="C83" t="s">
        <v>218</v>
      </c>
      <c r="D83" s="57">
        <v>4000000</v>
      </c>
      <c r="E83" s="57">
        <f t="shared" si="10"/>
        <v>4000000</v>
      </c>
      <c r="F83" s="57">
        <f t="shared" si="15"/>
        <v>0</v>
      </c>
      <c r="I83" s="3">
        <v>18</v>
      </c>
      <c r="J83" s="46" t="s">
        <v>268</v>
      </c>
      <c r="K83" s="5">
        <v>40073</v>
      </c>
      <c r="L83" s="5">
        <v>39904</v>
      </c>
      <c r="M83" s="5">
        <v>39904</v>
      </c>
      <c r="N83" s="5">
        <v>46478</v>
      </c>
      <c r="O83" s="78">
        <f>IFERROR(INDEX(refinancements!$G$2:$G$105,MATCH($A83,De,0)),"")</f>
        <v>40452</v>
      </c>
      <c r="P83" t="s">
        <v>49</v>
      </c>
      <c r="Q83" t="s">
        <v>50</v>
      </c>
      <c r="R83" s="56">
        <f t="shared" si="11"/>
        <v>2009</v>
      </c>
      <c r="S83" s="56">
        <f t="shared" si="13"/>
        <v>2009</v>
      </c>
      <c r="T83" s="91">
        <f t="shared" si="14"/>
        <v>0</v>
      </c>
      <c r="U83" s="80" t="str">
        <f t="shared" si="12"/>
        <v>Struct</v>
      </c>
      <c r="V83" s="6">
        <v>0</v>
      </c>
      <c r="X83" s="4">
        <v>3.9199999999999999E-2</v>
      </c>
      <c r="AF83" t="s">
        <v>234</v>
      </c>
      <c r="AI83" s="3">
        <v>1.5449999999999999</v>
      </c>
      <c r="AJ83" s="4">
        <v>5.7599999999999998E-2</v>
      </c>
      <c r="AL83">
        <v>0.5</v>
      </c>
      <c r="AP83" t="s">
        <v>697</v>
      </c>
    </row>
    <row r="84" spans="1:42">
      <c r="A84" s="48" t="s">
        <v>269</v>
      </c>
      <c r="B84" s="48"/>
      <c r="C84" t="s">
        <v>23</v>
      </c>
      <c r="D84" s="57">
        <v>10811289</v>
      </c>
      <c r="E84" s="57">
        <f t="shared" si="10"/>
        <v>10811000</v>
      </c>
      <c r="F84" s="57">
        <f t="shared" si="15"/>
        <v>0</v>
      </c>
      <c r="I84" s="3">
        <v>16</v>
      </c>
      <c r="J84" s="46" t="s">
        <v>216</v>
      </c>
      <c r="K84" s="5">
        <v>40022</v>
      </c>
      <c r="L84" s="5">
        <v>40087</v>
      </c>
      <c r="M84" s="5">
        <v>40087</v>
      </c>
      <c r="N84" s="5">
        <v>45931</v>
      </c>
      <c r="O84" s="78">
        <f>IFERROR(INDEX(refinancements!$G$2:$G$105,MATCH($A84,De,0)),"")</f>
        <v>40452</v>
      </c>
      <c r="P84" t="s">
        <v>49</v>
      </c>
      <c r="Q84" t="s">
        <v>50</v>
      </c>
      <c r="R84" s="56">
        <f t="shared" si="11"/>
        <v>2009</v>
      </c>
      <c r="S84" s="56">
        <f t="shared" si="13"/>
        <v>2009</v>
      </c>
      <c r="T84" s="91">
        <f t="shared" si="14"/>
        <v>0</v>
      </c>
      <c r="U84" s="80" t="str">
        <f t="shared" si="12"/>
        <v>Struct</v>
      </c>
      <c r="V84" s="6">
        <v>0</v>
      </c>
      <c r="X84" s="4">
        <v>3.32E-2</v>
      </c>
      <c r="AF84" t="s">
        <v>212</v>
      </c>
      <c r="AI84">
        <v>87</v>
      </c>
      <c r="AJ84" s="4">
        <v>5.5199999999999999E-2</v>
      </c>
      <c r="AL84">
        <v>0.15</v>
      </c>
    </row>
    <row r="85" spans="1:42">
      <c r="A85" s="48" t="s">
        <v>270</v>
      </c>
      <c r="B85" s="48"/>
      <c r="C85" t="s">
        <v>23</v>
      </c>
      <c r="D85" s="57">
        <v>12886346.74</v>
      </c>
      <c r="E85" s="57">
        <f t="shared" si="10"/>
        <v>12886000</v>
      </c>
      <c r="F85" s="57">
        <f t="shared" si="15"/>
        <v>0</v>
      </c>
      <c r="I85" s="3">
        <v>23</v>
      </c>
      <c r="J85" s="46" t="s">
        <v>271</v>
      </c>
      <c r="K85" s="5">
        <v>40022</v>
      </c>
      <c r="L85" s="5">
        <v>40118</v>
      </c>
      <c r="M85" s="5">
        <v>40118</v>
      </c>
      <c r="N85" s="5">
        <v>48488</v>
      </c>
      <c r="O85" s="78">
        <f>IFERROR(INDEX(refinancements!$G$2:$G$105,MATCH($A85,De,0)),"")</f>
        <v>43040</v>
      </c>
      <c r="P85" t="s">
        <v>20</v>
      </c>
      <c r="Q85" t="s">
        <v>189</v>
      </c>
      <c r="R85" s="56">
        <f t="shared" si="11"/>
        <v>2009</v>
      </c>
      <c r="S85" s="56">
        <f t="shared" si="13"/>
        <v>2009</v>
      </c>
      <c r="T85" s="91">
        <f t="shared" si="14"/>
        <v>0</v>
      </c>
      <c r="U85" s="80" t="str">
        <f t="shared" si="12"/>
        <v>Struct</v>
      </c>
      <c r="V85" s="6">
        <v>1</v>
      </c>
      <c r="X85" s="4">
        <v>3.7400000000000003E-2</v>
      </c>
      <c r="AF85" t="s">
        <v>292</v>
      </c>
      <c r="AG85" t="s">
        <v>297</v>
      </c>
      <c r="AH85" s="23" t="s">
        <v>191</v>
      </c>
      <c r="AI85" s="4">
        <v>0</v>
      </c>
      <c r="AJ85" s="4">
        <v>5.74E-2</v>
      </c>
      <c r="AK85" t="s">
        <v>283</v>
      </c>
      <c r="AL85">
        <v>-5</v>
      </c>
    </row>
    <row r="86" spans="1:42">
      <c r="A86" s="48" t="s">
        <v>272</v>
      </c>
      <c r="B86" s="48"/>
      <c r="C86" t="s">
        <v>23</v>
      </c>
      <c r="D86" s="57">
        <v>5000000</v>
      </c>
      <c r="E86" s="57">
        <f t="shared" si="10"/>
        <v>0</v>
      </c>
      <c r="F86" s="57">
        <f t="shared" si="15"/>
        <v>0</v>
      </c>
      <c r="I86" s="3">
        <v>25</v>
      </c>
      <c r="J86" s="46" t="s">
        <v>273</v>
      </c>
      <c r="K86" s="5">
        <v>40157</v>
      </c>
      <c r="L86" s="5">
        <v>40133</v>
      </c>
      <c r="M86" s="5">
        <v>40133</v>
      </c>
      <c r="N86" s="5">
        <v>49644</v>
      </c>
      <c r="O86" s="78">
        <f>IFERROR(INDEX(refinancements!$G$2:$G$105,MATCH($A86,De,0)),"")</f>
        <v>40878</v>
      </c>
      <c r="P86" t="s">
        <v>83</v>
      </c>
      <c r="Q86" t="s">
        <v>13</v>
      </c>
      <c r="R86" s="56">
        <f t="shared" si="11"/>
        <v>2009</v>
      </c>
      <c r="S86" s="56">
        <f t="shared" si="13"/>
        <v>2009</v>
      </c>
      <c r="T86" s="91">
        <f t="shared" si="14"/>
        <v>4369863.01369863</v>
      </c>
      <c r="U86" s="80" t="str">
        <f t="shared" si="12"/>
        <v>Non_st</v>
      </c>
      <c r="V86" s="6">
        <v>1</v>
      </c>
      <c r="Y86" t="s">
        <v>42</v>
      </c>
      <c r="AA86">
        <v>1</v>
      </c>
      <c r="AB86" s="4">
        <v>4.0000000000000001E-3</v>
      </c>
    </row>
    <row r="87" spans="1:42">
      <c r="A87" s="48" t="s">
        <v>274</v>
      </c>
      <c r="B87" s="48"/>
      <c r="C87" t="s">
        <v>17</v>
      </c>
      <c r="D87" s="57">
        <v>4448712.3</v>
      </c>
      <c r="E87" s="57">
        <f t="shared" si="10"/>
        <v>4449000</v>
      </c>
      <c r="F87" s="57">
        <f t="shared" si="15"/>
        <v>0</v>
      </c>
      <c r="I87" s="3">
        <v>17</v>
      </c>
      <c r="J87" s="46" t="s">
        <v>275</v>
      </c>
      <c r="K87" s="5">
        <v>40138</v>
      </c>
      <c r="L87" s="5">
        <v>40142</v>
      </c>
      <c r="M87" s="5">
        <v>40142</v>
      </c>
      <c r="N87" s="5">
        <v>46351</v>
      </c>
      <c r="O87" s="78" t="str">
        <f>IFERROR(INDEX(refinancements!$G$2:$G$105,MATCH($A87,De,0)),"")</f>
        <v/>
      </c>
      <c r="P87" t="s">
        <v>12</v>
      </c>
      <c r="Q87" t="s">
        <v>13</v>
      </c>
      <c r="R87" s="56">
        <f t="shared" si="11"/>
        <v>2009</v>
      </c>
      <c r="S87" s="56">
        <f t="shared" si="13"/>
        <v>2009</v>
      </c>
      <c r="T87" s="91">
        <f t="shared" si="14"/>
        <v>0</v>
      </c>
      <c r="U87" s="80" t="str">
        <f t="shared" si="12"/>
        <v>Restr_sec</v>
      </c>
      <c r="V87" s="6">
        <v>1</v>
      </c>
      <c r="X87" s="4">
        <v>4.7E-2</v>
      </c>
    </row>
    <row r="88" spans="1:42">
      <c r="A88" s="48" t="s">
        <v>276</v>
      </c>
      <c r="B88" s="48"/>
      <c r="C88" t="s">
        <v>277</v>
      </c>
      <c r="D88" s="57">
        <v>10000000</v>
      </c>
      <c r="E88" s="57">
        <f t="shared" si="10"/>
        <v>0</v>
      </c>
      <c r="F88" s="57">
        <f t="shared" si="15"/>
        <v>0</v>
      </c>
      <c r="I88" s="3">
        <v>20</v>
      </c>
      <c r="J88" s="46" t="s">
        <v>278</v>
      </c>
      <c r="K88" s="5">
        <v>40168</v>
      </c>
      <c r="L88" s="5">
        <v>40168</v>
      </c>
      <c r="M88" s="5">
        <v>40168</v>
      </c>
      <c r="N88" s="5">
        <v>47786</v>
      </c>
      <c r="O88" s="78" t="str">
        <f>IFERROR(INDEX(refinancements!$G$2:$G$105,MATCH($A88,De,0)),"")</f>
        <v/>
      </c>
      <c r="P88" t="s">
        <v>83</v>
      </c>
      <c r="Q88" t="s">
        <v>13</v>
      </c>
      <c r="R88" s="56">
        <f t="shared" si="11"/>
        <v>2009</v>
      </c>
      <c r="S88" s="56">
        <f t="shared" si="13"/>
        <v>2009</v>
      </c>
      <c r="T88" s="91">
        <f t="shared" si="14"/>
        <v>9698630.1369863022</v>
      </c>
      <c r="U88" s="80" t="str">
        <f t="shared" si="12"/>
        <v>Non_st</v>
      </c>
      <c r="V88" s="6">
        <v>1</v>
      </c>
      <c r="Y88" t="s">
        <v>42</v>
      </c>
      <c r="AA88">
        <v>1</v>
      </c>
      <c r="AB88" s="4">
        <v>4.3E-3</v>
      </c>
      <c r="AP88" t="s">
        <v>450</v>
      </c>
    </row>
    <row r="89" spans="1:42">
      <c r="A89" s="48" t="s">
        <v>284</v>
      </c>
      <c r="B89" s="48"/>
      <c r="C89" t="s">
        <v>218</v>
      </c>
      <c r="D89" s="57">
        <v>4475856.05</v>
      </c>
      <c r="E89" s="57">
        <f t="shared" si="10"/>
        <v>4476000</v>
      </c>
      <c r="F89" s="57">
        <f t="shared" si="15"/>
        <v>0</v>
      </c>
      <c r="I89" s="3">
        <v>25</v>
      </c>
      <c r="J89" s="46" t="s">
        <v>285</v>
      </c>
      <c r="K89" s="5">
        <v>40437</v>
      </c>
      <c r="L89" s="5">
        <v>40179</v>
      </c>
      <c r="M89" s="108">
        <v>40452</v>
      </c>
      <c r="N89" s="5">
        <v>49310</v>
      </c>
      <c r="O89" s="78">
        <f>IFERROR(INDEX(refinancements!$G$2:$G$105,MATCH($A89,De,0)),"")</f>
        <v>41640</v>
      </c>
      <c r="P89" t="s">
        <v>93</v>
      </c>
      <c r="Q89" t="s">
        <v>221</v>
      </c>
      <c r="R89" s="56">
        <f t="shared" si="11"/>
        <v>2010</v>
      </c>
      <c r="S89" s="56">
        <f t="shared" si="13"/>
        <v>2010</v>
      </c>
      <c r="T89" s="91">
        <f t="shared" si="14"/>
        <v>0</v>
      </c>
      <c r="U89" s="80" t="str">
        <f t="shared" si="12"/>
        <v>Struct</v>
      </c>
      <c r="V89" s="6">
        <v>0</v>
      </c>
      <c r="X89" s="4">
        <v>3.9899999999999998E-2</v>
      </c>
      <c r="Y89" t="s">
        <v>299</v>
      </c>
    </row>
    <row r="90" spans="1:42">
      <c r="A90" s="48" t="s">
        <v>286</v>
      </c>
      <c r="B90" s="48"/>
      <c r="C90" t="s">
        <v>23</v>
      </c>
      <c r="D90" s="57">
        <v>9799674.4199999999</v>
      </c>
      <c r="E90" s="57">
        <f t="shared" si="10"/>
        <v>9800000</v>
      </c>
      <c r="F90" s="57">
        <f t="shared" si="15"/>
        <v>0</v>
      </c>
      <c r="I90" s="3">
        <v>23</v>
      </c>
      <c r="J90" s="46" t="s">
        <v>247</v>
      </c>
      <c r="K90" s="5">
        <v>40022</v>
      </c>
      <c r="L90" s="5">
        <v>40179</v>
      </c>
      <c r="M90" s="5">
        <v>40179</v>
      </c>
      <c r="N90" s="5">
        <v>48580</v>
      </c>
      <c r="O90" s="78">
        <f>IFERROR(INDEX(refinancements!$G$2:$G$105,MATCH($A90,De,0)),"")</f>
        <v>40848</v>
      </c>
      <c r="P90" t="s">
        <v>93</v>
      </c>
      <c r="Q90" t="s">
        <v>230</v>
      </c>
      <c r="R90" s="56">
        <f t="shared" si="11"/>
        <v>2009</v>
      </c>
      <c r="S90" s="56">
        <f t="shared" si="13"/>
        <v>2010</v>
      </c>
      <c r="T90" s="91">
        <f t="shared" si="14"/>
        <v>0</v>
      </c>
      <c r="U90" s="80" t="str">
        <f t="shared" si="12"/>
        <v>Struct</v>
      </c>
      <c r="V90" s="6">
        <v>0</v>
      </c>
      <c r="X90" s="4">
        <v>-2E-3</v>
      </c>
      <c r="Y90" t="s">
        <v>66</v>
      </c>
      <c r="AE90" s="5"/>
      <c r="AP90" t="s">
        <v>287</v>
      </c>
    </row>
    <row r="91" spans="1:42">
      <c r="A91" s="48" t="s">
        <v>288</v>
      </c>
      <c r="B91" s="48"/>
      <c r="C91" t="s">
        <v>218</v>
      </c>
      <c r="D91" s="57">
        <v>3731490.92</v>
      </c>
      <c r="E91" s="57">
        <f t="shared" si="10"/>
        <v>3731000</v>
      </c>
      <c r="F91" s="57">
        <f t="shared" si="15"/>
        <v>0</v>
      </c>
      <c r="I91" s="3">
        <v>25</v>
      </c>
      <c r="J91" s="46" t="s">
        <v>285</v>
      </c>
      <c r="K91" s="5">
        <v>40437</v>
      </c>
      <c r="L91" s="5">
        <v>40269</v>
      </c>
      <c r="M91" s="108">
        <v>40452</v>
      </c>
      <c r="N91" s="5">
        <v>49400</v>
      </c>
      <c r="O91" s="78">
        <f>IFERROR(INDEX(refinancements!$G$2:$G$105,MATCH($A91,De,0)),"")</f>
        <v>41730</v>
      </c>
      <c r="P91" t="s">
        <v>93</v>
      </c>
      <c r="Q91" t="s">
        <v>221</v>
      </c>
      <c r="R91" s="56">
        <f t="shared" si="11"/>
        <v>2010</v>
      </c>
      <c r="S91" s="56">
        <f t="shared" si="13"/>
        <v>2010</v>
      </c>
      <c r="T91" s="91">
        <f t="shared" si="14"/>
        <v>0</v>
      </c>
      <c r="U91" s="80" t="str">
        <f t="shared" si="12"/>
        <v>Struct</v>
      </c>
      <c r="V91" s="6">
        <v>0</v>
      </c>
      <c r="X91" s="4">
        <v>3.9899999999999998E-2</v>
      </c>
      <c r="Y91" t="s">
        <v>299</v>
      </c>
    </row>
    <row r="92" spans="1:42">
      <c r="A92" s="48" t="s">
        <v>289</v>
      </c>
      <c r="B92" s="48"/>
      <c r="C92" t="s">
        <v>23</v>
      </c>
      <c r="D92" s="57">
        <v>15028637.359999999</v>
      </c>
      <c r="E92" s="57">
        <f t="shared" si="10"/>
        <v>15029000</v>
      </c>
      <c r="F92" s="57">
        <f t="shared" si="15"/>
        <v>0</v>
      </c>
      <c r="I92" s="3">
        <v>19</v>
      </c>
      <c r="J92" s="46" t="s">
        <v>290</v>
      </c>
      <c r="K92" s="5">
        <v>40231</v>
      </c>
      <c r="L92" s="5">
        <v>40299</v>
      </c>
      <c r="M92" s="5">
        <v>40299</v>
      </c>
      <c r="N92" s="5">
        <v>47239</v>
      </c>
      <c r="O92" s="78">
        <f>IFERROR(INDEX(refinancements!$G$2:$G$105,MATCH($A92,De,0)),"")</f>
        <v>40737</v>
      </c>
      <c r="P92" t="s">
        <v>93</v>
      </c>
      <c r="Q92" t="s">
        <v>291</v>
      </c>
      <c r="R92" s="56">
        <f t="shared" si="11"/>
        <v>2010</v>
      </c>
      <c r="S92" s="56">
        <f t="shared" si="13"/>
        <v>2010</v>
      </c>
      <c r="T92" s="91">
        <f t="shared" si="14"/>
        <v>0</v>
      </c>
      <c r="U92" s="80" t="str">
        <f t="shared" si="12"/>
        <v>Struct</v>
      </c>
      <c r="V92" s="6">
        <v>0</v>
      </c>
      <c r="X92" s="4">
        <v>3.9899999999999998E-2</v>
      </c>
      <c r="Y92" t="s">
        <v>292</v>
      </c>
      <c r="AP92" t="s">
        <v>644</v>
      </c>
    </row>
    <row r="93" spans="1:42">
      <c r="A93" s="48" t="s">
        <v>300</v>
      </c>
      <c r="B93" s="48"/>
      <c r="C93" t="s">
        <v>23</v>
      </c>
      <c r="D93" s="57">
        <v>7230653.5199999996</v>
      </c>
      <c r="E93" s="57">
        <f t="shared" si="10"/>
        <v>7231000</v>
      </c>
      <c r="F93" s="57">
        <f t="shared" si="15"/>
        <v>0</v>
      </c>
      <c r="I93" s="3">
        <v>12</v>
      </c>
      <c r="J93" s="46" t="s">
        <v>301</v>
      </c>
      <c r="K93" s="5">
        <v>40347</v>
      </c>
      <c r="L93" s="5">
        <v>40330</v>
      </c>
      <c r="M93" s="108">
        <v>40452</v>
      </c>
      <c r="N93" s="5">
        <v>44713</v>
      </c>
      <c r="O93" s="78">
        <f>IFERROR(INDEX(refinancements!$G$2:$G$105,MATCH($A93,De,0)),"")</f>
        <v>40664</v>
      </c>
      <c r="P93" t="s">
        <v>49</v>
      </c>
      <c r="Q93" t="s">
        <v>50</v>
      </c>
      <c r="R93" s="56">
        <f t="shared" si="11"/>
        <v>2010</v>
      </c>
      <c r="S93" s="56">
        <f t="shared" si="13"/>
        <v>2010</v>
      </c>
      <c r="T93" s="91">
        <f t="shared" si="14"/>
        <v>0</v>
      </c>
      <c r="U93" s="80" t="str">
        <f t="shared" si="12"/>
        <v>Struct</v>
      </c>
      <c r="V93" s="6">
        <v>0</v>
      </c>
      <c r="X93" s="4">
        <v>3.1699999999999999E-2</v>
      </c>
      <c r="AF93" t="s">
        <v>200</v>
      </c>
      <c r="AH93" s="23" t="s">
        <v>191</v>
      </c>
      <c r="AI93">
        <v>1.45</v>
      </c>
      <c r="AJ93" s="4">
        <v>3.1699999999999999E-2</v>
      </c>
      <c r="AL93">
        <v>0.5</v>
      </c>
    </row>
    <row r="94" spans="1:42">
      <c r="A94" s="48" t="s">
        <v>302</v>
      </c>
      <c r="B94" s="48"/>
      <c r="C94" t="s">
        <v>23</v>
      </c>
      <c r="D94" s="57">
        <v>750000</v>
      </c>
      <c r="E94" s="57">
        <f t="shared" si="10"/>
        <v>0</v>
      </c>
      <c r="F94" s="57">
        <f t="shared" si="15"/>
        <v>0</v>
      </c>
      <c r="I94" s="3">
        <v>15</v>
      </c>
      <c r="J94" s="46" t="s">
        <v>303</v>
      </c>
      <c r="K94" s="5">
        <v>40380</v>
      </c>
      <c r="L94" s="5">
        <v>40384</v>
      </c>
      <c r="M94" s="5">
        <v>40384</v>
      </c>
      <c r="N94" s="5">
        <v>45901</v>
      </c>
      <c r="O94" s="78" t="str">
        <f>IFERROR(INDEX(refinancements!$G$2:$G$105,MATCH($A94,De,0)),"")</f>
        <v/>
      </c>
      <c r="P94" t="s">
        <v>12</v>
      </c>
      <c r="Q94" t="s">
        <v>13</v>
      </c>
      <c r="R94" s="56">
        <f t="shared" si="11"/>
        <v>2010</v>
      </c>
      <c r="S94" s="56">
        <f t="shared" si="13"/>
        <v>2010</v>
      </c>
      <c r="T94" s="91">
        <f t="shared" si="14"/>
        <v>421232.87671232881</v>
      </c>
      <c r="U94" s="80" t="str">
        <f t="shared" si="12"/>
        <v>Non_st</v>
      </c>
      <c r="V94" s="6">
        <v>1</v>
      </c>
      <c r="W94" s="6">
        <v>1</v>
      </c>
      <c r="X94" s="4">
        <v>2.1399999999999999E-2</v>
      </c>
    </row>
    <row r="95" spans="1:42">
      <c r="A95" s="48" t="s">
        <v>304</v>
      </c>
      <c r="B95" s="48"/>
      <c r="C95" t="s">
        <v>218</v>
      </c>
      <c r="D95" s="57">
        <v>1790342.42</v>
      </c>
      <c r="E95" s="57">
        <f t="shared" si="10"/>
        <v>1790000</v>
      </c>
      <c r="F95" s="57">
        <f t="shared" si="15"/>
        <v>0</v>
      </c>
      <c r="I95" s="3">
        <v>20</v>
      </c>
      <c r="J95" s="46" t="s">
        <v>305</v>
      </c>
      <c r="K95" s="5">
        <v>40437</v>
      </c>
      <c r="L95" s="5">
        <v>40422</v>
      </c>
      <c r="M95" s="5">
        <v>40422</v>
      </c>
      <c r="N95" s="5">
        <v>47818</v>
      </c>
      <c r="O95" s="78" t="str">
        <f>IFERROR(INDEX(refinancements!$G$2:$G$105,MATCH($A95,De,0)),"")</f>
        <v/>
      </c>
      <c r="P95" t="s">
        <v>12</v>
      </c>
      <c r="Q95" t="s">
        <v>13</v>
      </c>
      <c r="R95" s="56">
        <f t="shared" si="11"/>
        <v>2010</v>
      </c>
      <c r="S95" s="56">
        <f t="shared" si="13"/>
        <v>2010</v>
      </c>
      <c r="T95" s="91">
        <f t="shared" si="14"/>
        <v>0</v>
      </c>
      <c r="U95" s="80" t="str">
        <f t="shared" si="12"/>
        <v>Restr_sec</v>
      </c>
      <c r="V95" s="6">
        <v>1</v>
      </c>
      <c r="X95" s="4">
        <v>4.3299999999999998E-2</v>
      </c>
    </row>
    <row r="96" spans="1:42">
      <c r="A96" s="48" t="s">
        <v>306</v>
      </c>
      <c r="B96" s="48"/>
      <c r="C96" t="s">
        <v>23</v>
      </c>
      <c r="D96" s="57">
        <v>10354303</v>
      </c>
      <c r="E96" s="57">
        <f t="shared" si="10"/>
        <v>10354000</v>
      </c>
      <c r="F96" s="57">
        <f t="shared" si="15"/>
        <v>0</v>
      </c>
      <c r="I96" s="3">
        <v>15</v>
      </c>
      <c r="J96" s="46" t="s">
        <v>307</v>
      </c>
      <c r="K96" s="5">
        <v>40464</v>
      </c>
      <c r="L96" s="5">
        <v>40452</v>
      </c>
      <c r="M96" s="5">
        <v>40452</v>
      </c>
      <c r="N96" s="5">
        <v>45931</v>
      </c>
      <c r="O96" s="78">
        <f>IFERROR(INDEX(refinancements!$G$2:$G$105,MATCH($A96,De,0)),"")</f>
        <v>41030</v>
      </c>
      <c r="P96" t="s">
        <v>49</v>
      </c>
      <c r="Q96" t="s">
        <v>50</v>
      </c>
      <c r="R96" s="56">
        <f t="shared" si="11"/>
        <v>2010</v>
      </c>
      <c r="S96" s="56">
        <f t="shared" si="13"/>
        <v>2010</v>
      </c>
      <c r="T96" s="91">
        <f t="shared" si="14"/>
        <v>0</v>
      </c>
      <c r="U96" s="80" t="str">
        <f t="shared" si="12"/>
        <v>Struct</v>
      </c>
      <c r="V96" s="6">
        <v>0</v>
      </c>
      <c r="X96" s="4">
        <v>3.32E-2</v>
      </c>
      <c r="AF96" t="s">
        <v>212</v>
      </c>
      <c r="AI96">
        <v>87</v>
      </c>
      <c r="AP96" t="s">
        <v>310</v>
      </c>
    </row>
    <row r="97" spans="1:42">
      <c r="A97" s="48" t="s">
        <v>311</v>
      </c>
      <c r="B97" s="48"/>
      <c r="C97" t="s">
        <v>23</v>
      </c>
      <c r="D97" s="57">
        <v>10354303</v>
      </c>
      <c r="E97" s="57">
        <f t="shared" si="10"/>
        <v>10354000</v>
      </c>
      <c r="F97" s="57">
        <f t="shared" si="15"/>
        <v>0</v>
      </c>
      <c r="I97" s="3">
        <v>17</v>
      </c>
      <c r="J97" s="46" t="s">
        <v>312</v>
      </c>
      <c r="K97" s="5">
        <v>40505</v>
      </c>
      <c r="L97" s="5">
        <v>40513</v>
      </c>
      <c r="M97" s="5">
        <v>40513</v>
      </c>
      <c r="N97" s="5">
        <v>46722</v>
      </c>
      <c r="O97" s="78">
        <f>IFERROR(INDEX(refinancements!$G$2:$G$105,MATCH($A97,De,0)),"")</f>
        <v>40878</v>
      </c>
      <c r="P97" t="s">
        <v>49</v>
      </c>
      <c r="Q97" t="s">
        <v>50</v>
      </c>
      <c r="R97" s="56">
        <f t="shared" si="11"/>
        <v>2010</v>
      </c>
      <c r="S97" s="56">
        <f t="shared" si="13"/>
        <v>2010</v>
      </c>
      <c r="T97" s="91">
        <f t="shared" si="14"/>
        <v>0</v>
      </c>
      <c r="U97" s="80" t="str">
        <f t="shared" si="12"/>
        <v>Struct</v>
      </c>
      <c r="V97" s="6">
        <v>0</v>
      </c>
      <c r="X97" s="4">
        <v>2.9899999999999999E-2</v>
      </c>
      <c r="AF97" t="s">
        <v>200</v>
      </c>
      <c r="AH97" s="23" t="s">
        <v>191</v>
      </c>
      <c r="AI97">
        <v>1.4450000000000001</v>
      </c>
      <c r="AJ97" s="4">
        <v>2.9899999999999999E-2</v>
      </c>
      <c r="AL97">
        <v>0.48499999999999999</v>
      </c>
    </row>
    <row r="98" spans="1:42">
      <c r="A98" s="48" t="s">
        <v>313</v>
      </c>
      <c r="B98" s="48"/>
      <c r="C98" t="s">
        <v>218</v>
      </c>
      <c r="D98" s="57">
        <v>2572188.9300000002</v>
      </c>
      <c r="E98" s="57">
        <f t="shared" ref="E98:E129" si="16">SUMPRODUCT((Vers=$A98)*Montant_transfere)</f>
        <v>2572000</v>
      </c>
      <c r="F98" s="57">
        <f t="shared" si="15"/>
        <v>0</v>
      </c>
      <c r="I98" s="3">
        <v>20</v>
      </c>
      <c r="J98" s="46" t="s">
        <v>305</v>
      </c>
      <c r="K98" s="5">
        <v>40437</v>
      </c>
      <c r="L98" s="5">
        <v>40513</v>
      </c>
      <c r="M98" s="5">
        <v>40513</v>
      </c>
      <c r="N98" s="5">
        <v>47818</v>
      </c>
      <c r="O98" s="78" t="str">
        <f>IFERROR(INDEX(refinancements!$G$2:$G$105,MATCH($A98,De,0)),"")</f>
        <v/>
      </c>
      <c r="P98" t="s">
        <v>12</v>
      </c>
      <c r="Q98" t="s">
        <v>13</v>
      </c>
      <c r="R98" s="56">
        <f t="shared" si="11"/>
        <v>2010</v>
      </c>
      <c r="S98" s="56">
        <f t="shared" si="13"/>
        <v>2010</v>
      </c>
      <c r="T98" s="91">
        <f t="shared" si="14"/>
        <v>0</v>
      </c>
      <c r="U98" s="80" t="str">
        <f t="shared" ref="U98:U129" si="17">IF(Q98="1A",IF(P98="Livret A","Livr_A",IF(SUMPRODUCT((Vers=$A98)*De_non_1A)&gt;0,IF(H98&gt;1,"Restr_aidé","Restr_sec"),"Non_st")),"Struct")</f>
        <v>Restr_sec</v>
      </c>
      <c r="V98" s="6">
        <v>1</v>
      </c>
      <c r="X98" s="4">
        <v>4.3299999999999998E-2</v>
      </c>
    </row>
    <row r="99" spans="1:42">
      <c r="A99" s="48" t="s">
        <v>314</v>
      </c>
      <c r="B99" s="48"/>
      <c r="C99" t="s">
        <v>218</v>
      </c>
      <c r="D99" s="57">
        <v>8000000</v>
      </c>
      <c r="E99" s="57">
        <f t="shared" si="16"/>
        <v>0</v>
      </c>
      <c r="F99" s="57">
        <f t="shared" si="15"/>
        <v>0</v>
      </c>
      <c r="I99" s="3">
        <v>15</v>
      </c>
      <c r="J99" s="46" t="s">
        <v>315</v>
      </c>
      <c r="K99" s="5">
        <v>40540</v>
      </c>
      <c r="L99" s="5">
        <v>40530</v>
      </c>
      <c r="M99" s="5">
        <v>40530</v>
      </c>
      <c r="N99" s="5">
        <v>46112</v>
      </c>
      <c r="O99" s="78" t="str">
        <f>IFERROR(INDEX(refinancements!$G$2:$G$105,MATCH($A99,De,0)),"")</f>
        <v/>
      </c>
      <c r="P99" t="s">
        <v>83</v>
      </c>
      <c r="Q99" t="s">
        <v>13</v>
      </c>
      <c r="R99" s="56">
        <f t="shared" si="11"/>
        <v>2010</v>
      </c>
      <c r="S99" s="56">
        <f t="shared" si="13"/>
        <v>2010</v>
      </c>
      <c r="T99" s="91">
        <f t="shared" si="14"/>
        <v>7693150.6849315073</v>
      </c>
      <c r="U99" s="80" t="str">
        <f t="shared" si="17"/>
        <v>Non_st</v>
      </c>
      <c r="V99" s="6">
        <v>1</v>
      </c>
      <c r="Y99" t="s">
        <v>316</v>
      </c>
      <c r="AA99">
        <v>1</v>
      </c>
      <c r="AB99" s="4">
        <v>9.4999999999999998E-3</v>
      </c>
    </row>
    <row r="100" spans="1:42">
      <c r="A100" s="48" t="s">
        <v>317</v>
      </c>
      <c r="B100" s="48"/>
      <c r="C100" t="s">
        <v>23</v>
      </c>
      <c r="D100" s="57">
        <v>12864338.57</v>
      </c>
      <c r="E100" s="57">
        <f t="shared" si="16"/>
        <v>12864000</v>
      </c>
      <c r="F100" s="57">
        <f t="shared" ref="F100:F132" si="18">SUMPRODUCT((Vers=A100)*IRA_en_sus)</f>
        <v>0</v>
      </c>
      <c r="I100" s="3">
        <v>25</v>
      </c>
      <c r="J100" s="46" t="s">
        <v>318</v>
      </c>
      <c r="K100" s="5">
        <v>40505</v>
      </c>
      <c r="L100" s="5">
        <v>40634</v>
      </c>
      <c r="M100" s="5">
        <v>40634</v>
      </c>
      <c r="N100" s="5">
        <v>49766</v>
      </c>
      <c r="O100" s="78">
        <f>IFERROR(INDEX(refinancements!$G$2:$G$105,MATCH($A100,De,0)),"")</f>
        <v>41760</v>
      </c>
      <c r="P100" t="s">
        <v>93</v>
      </c>
      <c r="Q100" t="s">
        <v>221</v>
      </c>
      <c r="R100" s="56">
        <f t="shared" si="11"/>
        <v>2010</v>
      </c>
      <c r="S100" s="56">
        <f t="shared" si="13"/>
        <v>2011</v>
      </c>
      <c r="T100" s="91">
        <f t="shared" si="14"/>
        <v>0</v>
      </c>
      <c r="U100" s="80" t="str">
        <f t="shared" si="17"/>
        <v>Struct</v>
      </c>
      <c r="V100" s="6">
        <v>0</v>
      </c>
      <c r="Y100" t="s">
        <v>66</v>
      </c>
      <c r="AA100">
        <v>1</v>
      </c>
      <c r="AB100" s="4">
        <v>3.3999999999999998E-3</v>
      </c>
      <c r="AC100" s="4" t="s">
        <v>320</v>
      </c>
      <c r="AD100">
        <v>-4</v>
      </c>
    </row>
    <row r="101" spans="1:42">
      <c r="A101" s="48" t="s">
        <v>580</v>
      </c>
      <c r="B101" s="48" t="s">
        <v>581</v>
      </c>
      <c r="C101" t="s">
        <v>23</v>
      </c>
      <c r="D101" s="57">
        <v>6725870.4800000004</v>
      </c>
      <c r="E101" s="57">
        <f t="shared" si="16"/>
        <v>6725870.4800000004</v>
      </c>
      <c r="F101" s="57">
        <f t="shared" si="18"/>
        <v>0</v>
      </c>
      <c r="I101" s="3">
        <v>12.42</v>
      </c>
      <c r="J101" s="46" t="s">
        <v>349</v>
      </c>
      <c r="K101" s="5">
        <v>40664</v>
      </c>
      <c r="L101" s="108">
        <v>40664</v>
      </c>
      <c r="M101" s="108">
        <v>40664</v>
      </c>
      <c r="N101" s="108">
        <v>45291</v>
      </c>
      <c r="O101" s="78">
        <f>IFERROR(INDEX(refinancements!$G$2:$G$105,MATCH($A101,De,0)),"")</f>
        <v>41030</v>
      </c>
      <c r="P101" t="s">
        <v>49</v>
      </c>
      <c r="Q101" t="s">
        <v>50</v>
      </c>
      <c r="R101" s="56">
        <f t="shared" si="11"/>
        <v>2011</v>
      </c>
      <c r="S101" s="56">
        <f t="shared" si="13"/>
        <v>2011</v>
      </c>
      <c r="T101" s="91">
        <f t="shared" si="14"/>
        <v>42.581917808072205</v>
      </c>
      <c r="U101" s="80" t="str">
        <f t="shared" si="17"/>
        <v>Struct</v>
      </c>
      <c r="V101" s="6">
        <v>0</v>
      </c>
      <c r="X101" s="4">
        <v>3.1699999999999999E-2</v>
      </c>
      <c r="AF101" t="s">
        <v>200</v>
      </c>
      <c r="AH101" s="23" t="s">
        <v>191</v>
      </c>
      <c r="AI101">
        <v>1.45</v>
      </c>
      <c r="AJ101" s="4">
        <v>3.1699999999999999E-2</v>
      </c>
      <c r="AL101">
        <v>0.499</v>
      </c>
      <c r="AP101" t="s">
        <v>582</v>
      </c>
    </row>
    <row r="102" spans="1:42">
      <c r="A102" s="48" t="s">
        <v>489</v>
      </c>
      <c r="B102" s="48" t="s">
        <v>534</v>
      </c>
      <c r="C102" t="s">
        <v>23</v>
      </c>
      <c r="D102" s="57">
        <v>14548322.5</v>
      </c>
      <c r="E102" s="57">
        <f t="shared" si="16"/>
        <v>14548000</v>
      </c>
      <c r="F102" s="57">
        <f t="shared" si="18"/>
        <v>0</v>
      </c>
      <c r="I102" s="3">
        <v>25</v>
      </c>
      <c r="J102" s="46" t="s">
        <v>290</v>
      </c>
      <c r="K102" s="5">
        <v>40737</v>
      </c>
      <c r="L102" s="5">
        <v>40725</v>
      </c>
      <c r="M102" s="5">
        <v>40725</v>
      </c>
      <c r="N102" s="5">
        <v>49796</v>
      </c>
      <c r="O102" s="78" t="str">
        <f>IFERROR(INDEX(refinancements!$G$2:$G$105,MATCH($A102,De,0)),"")</f>
        <v/>
      </c>
      <c r="P102" t="s">
        <v>93</v>
      </c>
      <c r="Q102" t="s">
        <v>291</v>
      </c>
      <c r="R102" s="56">
        <f t="shared" ref="R102:R149" si="19">YEAR(K102)</f>
        <v>2011</v>
      </c>
      <c r="S102" s="56">
        <f t="shared" si="13"/>
        <v>2011</v>
      </c>
      <c r="T102" s="91">
        <f t="shared" si="14"/>
        <v>0</v>
      </c>
      <c r="U102" s="80" t="str">
        <f t="shared" si="17"/>
        <v>Struct</v>
      </c>
      <c r="V102" s="6">
        <v>0</v>
      </c>
      <c r="X102" s="4">
        <v>3.9899999999999998E-2</v>
      </c>
      <c r="Y102" t="s">
        <v>292</v>
      </c>
      <c r="AP102" t="s">
        <v>322</v>
      </c>
    </row>
    <row r="103" spans="1:42">
      <c r="A103" s="48" t="s">
        <v>487</v>
      </c>
      <c r="B103" s="48" t="s">
        <v>533</v>
      </c>
      <c r="C103" t="s">
        <v>23</v>
      </c>
      <c r="D103" s="57">
        <v>16517857.16</v>
      </c>
      <c r="E103" s="57">
        <f t="shared" si="16"/>
        <v>14063000</v>
      </c>
      <c r="F103" s="57">
        <f t="shared" si="18"/>
        <v>0</v>
      </c>
      <c r="I103" s="3">
        <v>15</v>
      </c>
      <c r="J103" s="46" t="s">
        <v>323</v>
      </c>
      <c r="K103" s="5">
        <v>40737</v>
      </c>
      <c r="L103" s="5">
        <v>40737</v>
      </c>
      <c r="M103" s="5">
        <v>40737</v>
      </c>
      <c r="N103" s="5">
        <v>46204</v>
      </c>
      <c r="O103" s="78">
        <f>IFERROR(INDEX(refinancements!$G$2:$G$105,MATCH($A103,De,0)),"")</f>
        <v>42644</v>
      </c>
      <c r="P103" t="s">
        <v>49</v>
      </c>
      <c r="Q103" t="s">
        <v>50</v>
      </c>
      <c r="R103" s="56">
        <f t="shared" si="19"/>
        <v>2011</v>
      </c>
      <c r="S103" s="56">
        <f t="shared" si="13"/>
        <v>2011</v>
      </c>
      <c r="T103" s="91">
        <f t="shared" si="14"/>
        <v>1298123.2876712331</v>
      </c>
      <c r="U103" s="80" t="str">
        <f t="shared" si="17"/>
        <v>Struct</v>
      </c>
      <c r="V103" s="6">
        <v>0</v>
      </c>
      <c r="X103" s="4">
        <v>3.9399999999999998E-2</v>
      </c>
      <c r="AE103" s="5"/>
      <c r="AF103" t="s">
        <v>212</v>
      </c>
      <c r="AI103">
        <v>90</v>
      </c>
      <c r="AJ103" s="4">
        <v>0.05</v>
      </c>
      <c r="AL103">
        <v>0.2</v>
      </c>
      <c r="AP103" t="s">
        <v>322</v>
      </c>
    </row>
    <row r="104" spans="1:42">
      <c r="A104" s="48" t="s">
        <v>324</v>
      </c>
      <c r="B104" s="48"/>
      <c r="C104" t="s">
        <v>17</v>
      </c>
      <c r="D104" s="57">
        <v>5000000</v>
      </c>
      <c r="E104" s="57">
        <f t="shared" si="16"/>
        <v>0</v>
      </c>
      <c r="F104" s="57">
        <f t="shared" si="18"/>
        <v>0</v>
      </c>
      <c r="I104" s="3">
        <v>15</v>
      </c>
      <c r="J104" s="46" t="s">
        <v>327</v>
      </c>
      <c r="K104" s="5">
        <v>40732</v>
      </c>
      <c r="L104" s="5">
        <v>40732</v>
      </c>
      <c r="M104" s="5">
        <v>40732</v>
      </c>
      <c r="N104" s="5">
        <v>46536</v>
      </c>
      <c r="O104" s="78" t="str">
        <f>IFERROR(INDEX(refinancements!$G$2:$G$105,MATCH($A104,De,0)),"")</f>
        <v/>
      </c>
      <c r="P104" t="s">
        <v>83</v>
      </c>
      <c r="Q104" t="s">
        <v>13</v>
      </c>
      <c r="R104" s="56">
        <f t="shared" si="19"/>
        <v>2011</v>
      </c>
      <c r="S104" s="56">
        <f t="shared" si="13"/>
        <v>2011</v>
      </c>
      <c r="T104" s="91">
        <f t="shared" si="14"/>
        <v>2575342.4657534244</v>
      </c>
      <c r="U104" s="80" t="str">
        <f t="shared" si="17"/>
        <v>Non_st</v>
      </c>
      <c r="V104" s="6">
        <v>1</v>
      </c>
      <c r="W104" s="6">
        <v>1</v>
      </c>
      <c r="Y104" t="s">
        <v>330</v>
      </c>
      <c r="AA104">
        <v>1</v>
      </c>
      <c r="AB104" s="4">
        <v>1.29E-2</v>
      </c>
    </row>
    <row r="105" spans="1:42">
      <c r="A105" s="48" t="s">
        <v>328</v>
      </c>
      <c r="B105" s="48"/>
      <c r="C105" t="s">
        <v>17</v>
      </c>
      <c r="D105" s="57">
        <v>5000000</v>
      </c>
      <c r="E105" s="57">
        <f t="shared" si="16"/>
        <v>0</v>
      </c>
      <c r="F105" s="57">
        <f t="shared" si="18"/>
        <v>0</v>
      </c>
      <c r="I105" s="3">
        <v>15</v>
      </c>
      <c r="J105" s="46" t="s">
        <v>329</v>
      </c>
      <c r="K105" s="5">
        <v>40732</v>
      </c>
      <c r="L105" s="5">
        <v>40732</v>
      </c>
      <c r="M105" s="5">
        <v>40732</v>
      </c>
      <c r="N105" s="5">
        <v>46536</v>
      </c>
      <c r="O105" s="78" t="str">
        <f>IFERROR(INDEX(refinancements!$G$2:$G$105,MATCH($A105,De,0)),"")</f>
        <v/>
      </c>
      <c r="P105" t="s">
        <v>83</v>
      </c>
      <c r="Q105" t="s">
        <v>13</v>
      </c>
      <c r="R105" s="56">
        <f t="shared" si="19"/>
        <v>2011</v>
      </c>
      <c r="S105" s="56">
        <f t="shared" si="13"/>
        <v>2011</v>
      </c>
      <c r="T105" s="91">
        <f t="shared" si="14"/>
        <v>2575342.4657534244</v>
      </c>
      <c r="U105" s="80" t="str">
        <f t="shared" si="17"/>
        <v>Non_st</v>
      </c>
      <c r="V105" s="6">
        <v>1</v>
      </c>
      <c r="W105" s="6">
        <v>1</v>
      </c>
      <c r="Y105" t="s">
        <v>330</v>
      </c>
      <c r="AA105">
        <v>1</v>
      </c>
      <c r="AB105" s="4">
        <v>9.9000000000000008E-3</v>
      </c>
    </row>
    <row r="106" spans="1:42">
      <c r="A106" s="48" t="s">
        <v>331</v>
      </c>
      <c r="B106" s="48"/>
      <c r="C106" t="s">
        <v>23</v>
      </c>
      <c r="D106" s="57">
        <v>9387574.4499999993</v>
      </c>
      <c r="E106" s="57">
        <f t="shared" si="16"/>
        <v>9366000</v>
      </c>
      <c r="F106" s="57">
        <f t="shared" si="18"/>
        <v>0</v>
      </c>
      <c r="I106" s="3">
        <v>21.17</v>
      </c>
      <c r="J106" s="46" t="s">
        <v>332</v>
      </c>
      <c r="K106" s="5">
        <v>40877</v>
      </c>
      <c r="L106" s="5">
        <v>40848</v>
      </c>
      <c r="M106" s="5">
        <v>40848</v>
      </c>
      <c r="N106" s="5">
        <v>48580</v>
      </c>
      <c r="O106" s="78">
        <f>IFERROR(INDEX(refinancements!$G$2:$G$105,MATCH($A106,De,0)),"")</f>
        <v>43101</v>
      </c>
      <c r="P106" t="s">
        <v>93</v>
      </c>
      <c r="Q106" t="s">
        <v>230</v>
      </c>
      <c r="R106" s="56">
        <f t="shared" si="19"/>
        <v>2011</v>
      </c>
      <c r="S106" s="56">
        <f t="shared" si="13"/>
        <v>2011</v>
      </c>
      <c r="T106" s="91">
        <f t="shared" si="14"/>
        <v>18323.287671232876</v>
      </c>
      <c r="U106" s="80" t="str">
        <f t="shared" si="17"/>
        <v>Struct</v>
      </c>
      <c r="V106" s="6">
        <v>0</v>
      </c>
      <c r="X106" s="4">
        <v>3.5000000000000003E-2</v>
      </c>
      <c r="Y106" t="s">
        <v>37</v>
      </c>
      <c r="AA106">
        <v>-5</v>
      </c>
    </row>
    <row r="107" spans="1:42">
      <c r="A107" s="48" t="s">
        <v>333</v>
      </c>
      <c r="B107" s="48"/>
      <c r="C107" t="s">
        <v>23</v>
      </c>
      <c r="D107" s="57">
        <v>8585271.9199999999</v>
      </c>
      <c r="E107" s="57">
        <f t="shared" si="16"/>
        <v>8565000</v>
      </c>
      <c r="F107" s="57">
        <f t="shared" si="18"/>
        <v>0</v>
      </c>
      <c r="I107" s="3">
        <v>22</v>
      </c>
      <c r="J107" s="46" t="s">
        <v>334</v>
      </c>
      <c r="K107" s="5">
        <v>40877</v>
      </c>
      <c r="L107" s="5">
        <v>40848</v>
      </c>
      <c r="M107" s="5">
        <v>40848</v>
      </c>
      <c r="N107" s="5">
        <v>48884</v>
      </c>
      <c r="O107" s="78">
        <f>IFERROR(INDEX(refinancements!$G$2:$G$105,MATCH($A107,De,0)),"")</f>
        <v>41654</v>
      </c>
      <c r="P107" t="s">
        <v>49</v>
      </c>
      <c r="Q107" t="s">
        <v>50</v>
      </c>
      <c r="R107" s="56">
        <f t="shared" si="19"/>
        <v>2011</v>
      </c>
      <c r="S107" s="56">
        <f t="shared" si="13"/>
        <v>2011</v>
      </c>
      <c r="T107" s="91">
        <f t="shared" si="14"/>
        <v>16657.534246575342</v>
      </c>
      <c r="U107" s="80" t="str">
        <f t="shared" si="17"/>
        <v>Struct</v>
      </c>
      <c r="V107" s="6">
        <v>0</v>
      </c>
      <c r="X107" s="4">
        <v>2.9700000000000001E-2</v>
      </c>
      <c r="AF107" t="s">
        <v>200</v>
      </c>
      <c r="AG107" t="s">
        <v>234</v>
      </c>
      <c r="AI107" s="3">
        <v>0</v>
      </c>
      <c r="AJ107" s="4">
        <v>2.9700000000000001E-2</v>
      </c>
      <c r="AL107">
        <v>0.33</v>
      </c>
      <c r="AP107" t="s">
        <v>335</v>
      </c>
    </row>
    <row r="108" spans="1:42">
      <c r="A108" s="48" t="s">
        <v>336</v>
      </c>
      <c r="B108" s="48"/>
      <c r="C108" t="s">
        <v>23</v>
      </c>
      <c r="D108" s="57">
        <v>9953600.3599999994</v>
      </c>
      <c r="E108" s="57">
        <f t="shared" si="16"/>
        <v>9954000</v>
      </c>
      <c r="F108" s="57">
        <f t="shared" si="18"/>
        <v>0</v>
      </c>
      <c r="I108" s="3">
        <v>18</v>
      </c>
      <c r="J108" s="46" t="s">
        <v>337</v>
      </c>
      <c r="K108" s="5">
        <v>40885</v>
      </c>
      <c r="L108" s="5">
        <v>40878</v>
      </c>
      <c r="M108" s="5">
        <v>40878</v>
      </c>
      <c r="N108" s="5">
        <v>47453</v>
      </c>
      <c r="O108" s="78">
        <f>IFERROR(INDEX(refinancements!$G$2:$G$105,MATCH($A108,De,0)),"")</f>
        <v>41244</v>
      </c>
      <c r="P108" t="s">
        <v>49</v>
      </c>
      <c r="Q108" t="s">
        <v>50</v>
      </c>
      <c r="R108" s="56">
        <f t="shared" si="19"/>
        <v>2011</v>
      </c>
      <c r="S108" s="56">
        <f t="shared" si="13"/>
        <v>2011</v>
      </c>
      <c r="T108" s="91">
        <f t="shared" si="14"/>
        <v>0</v>
      </c>
      <c r="U108" s="80" t="str">
        <f t="shared" si="17"/>
        <v>Struct</v>
      </c>
      <c r="V108" s="6">
        <v>0</v>
      </c>
      <c r="X108" s="4">
        <v>2.9899999999999999E-2</v>
      </c>
      <c r="AF108" t="s">
        <v>200</v>
      </c>
      <c r="AH108" s="23" t="s">
        <v>191</v>
      </c>
      <c r="AI108">
        <v>1.4450000000000001</v>
      </c>
      <c r="AJ108" s="4">
        <v>2.9899999999999999E-2</v>
      </c>
      <c r="AL108">
        <v>0.48499999999999999</v>
      </c>
    </row>
    <row r="109" spans="1:42">
      <c r="A109" s="48" t="s">
        <v>338</v>
      </c>
      <c r="B109" s="48"/>
      <c r="C109" t="s">
        <v>23</v>
      </c>
      <c r="D109" s="57">
        <v>4825730.33</v>
      </c>
      <c r="E109" s="57">
        <f t="shared" si="16"/>
        <v>4825730</v>
      </c>
      <c r="F109" s="57">
        <f t="shared" si="18"/>
        <v>0</v>
      </c>
      <c r="I109" s="3">
        <v>24</v>
      </c>
      <c r="J109" s="46" t="s">
        <v>273</v>
      </c>
      <c r="K109" s="5">
        <v>40863</v>
      </c>
      <c r="L109" s="5">
        <v>40878</v>
      </c>
      <c r="M109" s="5">
        <v>40878</v>
      </c>
      <c r="N109" s="5">
        <v>49644</v>
      </c>
      <c r="O109" s="78" t="str">
        <f>IFERROR(INDEX(refinancements!$G$2:$G$105,MATCH($A109,De,0)),"")</f>
        <v/>
      </c>
      <c r="P109" t="s">
        <v>83</v>
      </c>
      <c r="Q109" t="s">
        <v>13</v>
      </c>
      <c r="R109" s="56">
        <f t="shared" si="19"/>
        <v>2011</v>
      </c>
      <c r="S109" s="56">
        <f t="shared" si="13"/>
        <v>2011</v>
      </c>
      <c r="T109" s="91">
        <f t="shared" si="14"/>
        <v>247.06849315068493</v>
      </c>
      <c r="U109" s="80" t="str">
        <f t="shared" si="17"/>
        <v>Non_st</v>
      </c>
      <c r="V109" s="6">
        <v>1</v>
      </c>
      <c r="Y109" t="s">
        <v>42</v>
      </c>
      <c r="AA109">
        <v>1</v>
      </c>
      <c r="AB109" s="4">
        <v>4.0000000000000001E-3</v>
      </c>
    </row>
    <row r="110" spans="1:42">
      <c r="A110" s="48" t="s">
        <v>339</v>
      </c>
      <c r="B110" s="48"/>
      <c r="C110" t="s">
        <v>17</v>
      </c>
      <c r="D110" s="57">
        <v>6500000</v>
      </c>
      <c r="E110" s="57">
        <f t="shared" si="16"/>
        <v>0</v>
      </c>
      <c r="F110" s="57">
        <f t="shared" si="18"/>
        <v>0</v>
      </c>
      <c r="I110" s="3">
        <v>20</v>
      </c>
      <c r="J110" s="46" t="s">
        <v>341</v>
      </c>
      <c r="K110" s="5">
        <v>40900</v>
      </c>
      <c r="L110" s="5">
        <v>40913</v>
      </c>
      <c r="M110" s="5">
        <v>40913</v>
      </c>
      <c r="N110" s="5">
        <v>48218</v>
      </c>
      <c r="O110" s="78" t="str">
        <f>IFERROR(INDEX(refinancements!$G$2:$G$105,MATCH($A110,De,0)),"")</f>
        <v/>
      </c>
      <c r="P110" t="s">
        <v>40</v>
      </c>
      <c r="Q110" t="s">
        <v>41</v>
      </c>
      <c r="R110" s="56">
        <f t="shared" si="19"/>
        <v>2011</v>
      </c>
      <c r="S110" s="56">
        <f t="shared" si="13"/>
        <v>2012</v>
      </c>
      <c r="T110" s="91">
        <f t="shared" si="14"/>
        <v>71232.876712328769</v>
      </c>
      <c r="U110" s="80" t="str">
        <f t="shared" si="17"/>
        <v>Struct</v>
      </c>
      <c r="V110" s="6">
        <v>1</v>
      </c>
      <c r="X110" s="4">
        <v>4.8500000000000001E-2</v>
      </c>
      <c r="AF110" t="s">
        <v>66</v>
      </c>
      <c r="AH110" s="23" t="s">
        <v>192</v>
      </c>
      <c r="AI110" s="4">
        <v>0.05</v>
      </c>
      <c r="AK110" t="s">
        <v>66</v>
      </c>
      <c r="AL110">
        <v>1</v>
      </c>
      <c r="AM110" s="4">
        <v>5.0000000000000001E-3</v>
      </c>
    </row>
    <row r="111" spans="1:42">
      <c r="A111" s="48" t="s">
        <v>340</v>
      </c>
      <c r="B111" s="48"/>
      <c r="C111" t="s">
        <v>17</v>
      </c>
      <c r="D111" s="57">
        <v>12135477.720000001</v>
      </c>
      <c r="E111" s="57">
        <f t="shared" si="16"/>
        <v>12135477.720000001</v>
      </c>
      <c r="F111" s="57">
        <f t="shared" si="18"/>
        <v>0</v>
      </c>
      <c r="I111" s="3">
        <v>14</v>
      </c>
      <c r="J111" s="46" t="s">
        <v>236</v>
      </c>
      <c r="K111" s="5">
        <v>40947</v>
      </c>
      <c r="L111" s="5">
        <v>40964</v>
      </c>
      <c r="M111" s="5">
        <v>40964</v>
      </c>
      <c r="N111" s="5">
        <v>46078</v>
      </c>
      <c r="O111" s="78">
        <f>IFERROR(INDEX(refinancements!$G$2:$G$105,MATCH($A111,De,0)),"")</f>
        <v>41330</v>
      </c>
      <c r="P111" t="s">
        <v>229</v>
      </c>
      <c r="Q111" t="s">
        <v>238</v>
      </c>
      <c r="R111" s="56">
        <f t="shared" si="19"/>
        <v>2012</v>
      </c>
      <c r="S111" s="56">
        <f t="shared" si="13"/>
        <v>2012</v>
      </c>
      <c r="T111" s="91">
        <f t="shared" si="14"/>
        <v>-71.985205479553088</v>
      </c>
      <c r="U111" s="80" t="str">
        <f t="shared" si="17"/>
        <v>Struct</v>
      </c>
      <c r="V111" s="6">
        <v>1</v>
      </c>
      <c r="X111" s="4">
        <v>0.28039999999999998</v>
      </c>
      <c r="Y111" t="s">
        <v>245</v>
      </c>
      <c r="AA111">
        <v>-5</v>
      </c>
      <c r="AC111" s="4" t="s">
        <v>321</v>
      </c>
      <c r="AD111">
        <v>5</v>
      </c>
      <c r="AE111" s="5"/>
      <c r="AN111" s="4">
        <v>0.03</v>
      </c>
      <c r="AO111" s="4">
        <v>0.11</v>
      </c>
      <c r="AP111" t="s">
        <v>680</v>
      </c>
    </row>
    <row r="112" spans="1:42">
      <c r="A112" s="48" t="s">
        <v>342</v>
      </c>
      <c r="B112" s="48"/>
      <c r="C112" t="s">
        <v>7</v>
      </c>
      <c r="D112" s="57">
        <v>6250000</v>
      </c>
      <c r="E112" s="57">
        <f t="shared" si="16"/>
        <v>0</v>
      </c>
      <c r="F112" s="57">
        <f t="shared" si="18"/>
        <v>0</v>
      </c>
      <c r="I112" s="3">
        <v>15.25</v>
      </c>
      <c r="J112" s="46" t="s">
        <v>343</v>
      </c>
      <c r="K112" s="5">
        <v>40988</v>
      </c>
      <c r="L112" s="5">
        <v>40991</v>
      </c>
      <c r="M112" s="5">
        <v>40991</v>
      </c>
      <c r="N112" s="5">
        <v>46661</v>
      </c>
      <c r="O112" s="78" t="str">
        <f>IFERROR(INDEX(refinancements!$G$2:$G$105,MATCH($A112,De,0)),"")</f>
        <v/>
      </c>
      <c r="P112" t="s">
        <v>83</v>
      </c>
      <c r="Q112" t="s">
        <v>13</v>
      </c>
      <c r="R112" s="56">
        <f t="shared" si="19"/>
        <v>2012</v>
      </c>
      <c r="S112" s="56">
        <f t="shared" si="13"/>
        <v>2012</v>
      </c>
      <c r="T112" s="91">
        <f t="shared" si="14"/>
        <v>1404109.5890410959</v>
      </c>
      <c r="U112" s="80" t="str">
        <f t="shared" si="17"/>
        <v>Non_st</v>
      </c>
      <c r="V112" s="6">
        <v>1</v>
      </c>
      <c r="Y112" t="s">
        <v>42</v>
      </c>
      <c r="AA112">
        <v>1</v>
      </c>
      <c r="AB112" s="4">
        <v>1.9800000000000002E-2</v>
      </c>
    </row>
    <row r="113" spans="1:42">
      <c r="A113" s="48" t="s">
        <v>531</v>
      </c>
      <c r="B113" s="48" t="s">
        <v>532</v>
      </c>
      <c r="C113" t="s">
        <v>23</v>
      </c>
      <c r="D113" s="57">
        <v>15824468</v>
      </c>
      <c r="E113" s="57">
        <f t="shared" si="16"/>
        <v>9874000</v>
      </c>
      <c r="F113" s="57">
        <f t="shared" si="18"/>
        <v>2950000</v>
      </c>
      <c r="G113" s="57">
        <v>2950000</v>
      </c>
      <c r="I113" s="3">
        <v>19.420000000000002</v>
      </c>
      <c r="J113" s="46" t="s">
        <v>346</v>
      </c>
      <c r="K113" s="5">
        <v>41065</v>
      </c>
      <c r="L113" s="5">
        <v>41030</v>
      </c>
      <c r="M113" s="5">
        <v>41030</v>
      </c>
      <c r="N113" s="5">
        <v>48122</v>
      </c>
      <c r="O113" s="78" t="str">
        <f>IFERROR(INDEX(refinancements!$G$2:$G$105,MATCH($A113,De,0)),"")</f>
        <v/>
      </c>
      <c r="P113" t="s">
        <v>93</v>
      </c>
      <c r="Q113" t="s">
        <v>221</v>
      </c>
      <c r="R113" s="56">
        <f t="shared" si="19"/>
        <v>2012</v>
      </c>
      <c r="S113" s="56">
        <f t="shared" si="13"/>
        <v>2012</v>
      </c>
      <c r="T113" s="91">
        <f t="shared" si="14"/>
        <v>1972465.7534246577</v>
      </c>
      <c r="U113" s="80" t="str">
        <f t="shared" si="17"/>
        <v>Struct</v>
      </c>
      <c r="V113" s="6">
        <v>0</v>
      </c>
      <c r="Y113" t="s">
        <v>66</v>
      </c>
      <c r="AA113">
        <v>1</v>
      </c>
      <c r="AB113" s="4">
        <v>1.7399999999999999E-2</v>
      </c>
      <c r="AC113" s="4" t="s">
        <v>347</v>
      </c>
      <c r="AD113">
        <v>-5</v>
      </c>
      <c r="AP113" t="s">
        <v>345</v>
      </c>
    </row>
    <row r="114" spans="1:42">
      <c r="A114" s="48" t="s">
        <v>490</v>
      </c>
      <c r="B114" s="48" t="s">
        <v>530</v>
      </c>
      <c r="C114" t="s">
        <v>23</v>
      </c>
      <c r="D114" s="57">
        <v>14097596.300000001</v>
      </c>
      <c r="E114" s="57">
        <f t="shared" si="16"/>
        <v>14098000</v>
      </c>
      <c r="F114" s="57">
        <f t="shared" si="18"/>
        <v>0</v>
      </c>
      <c r="I114" s="3">
        <v>17</v>
      </c>
      <c r="J114" s="46" t="s">
        <v>252</v>
      </c>
      <c r="K114" s="5">
        <v>41065</v>
      </c>
      <c r="L114" s="5">
        <v>41030</v>
      </c>
      <c r="M114" s="5">
        <v>41030</v>
      </c>
      <c r="N114" s="5">
        <v>47239</v>
      </c>
      <c r="O114" s="78">
        <f>IFERROR(INDEX(refinancements!$G$2:$G$105,MATCH($A114,De,0)),"")</f>
        <v>41760</v>
      </c>
      <c r="P114" t="s">
        <v>49</v>
      </c>
      <c r="Q114" t="s">
        <v>50</v>
      </c>
      <c r="R114" s="56">
        <f t="shared" si="19"/>
        <v>2012</v>
      </c>
      <c r="S114" s="56">
        <f t="shared" si="13"/>
        <v>2012</v>
      </c>
      <c r="T114" s="91">
        <f t="shared" si="14"/>
        <v>0</v>
      </c>
      <c r="U114" s="80" t="str">
        <f t="shared" si="17"/>
        <v>Struct</v>
      </c>
      <c r="V114" s="6">
        <v>0</v>
      </c>
      <c r="X114" s="4">
        <v>3.7999999999999999E-2</v>
      </c>
      <c r="AF114" t="s">
        <v>200</v>
      </c>
      <c r="AH114" s="23" t="s">
        <v>191</v>
      </c>
      <c r="AI114">
        <v>1.4550000000000001</v>
      </c>
      <c r="AJ114" s="4">
        <v>5.8000000000000003E-2</v>
      </c>
      <c r="AL114">
        <v>0.5</v>
      </c>
      <c r="AP114" t="s">
        <v>448</v>
      </c>
    </row>
    <row r="115" spans="1:42">
      <c r="A115" s="48" t="s">
        <v>497</v>
      </c>
      <c r="B115" s="48" t="s">
        <v>529</v>
      </c>
      <c r="C115" t="s">
        <v>23</v>
      </c>
      <c r="D115" s="57">
        <v>6725870.4800000004</v>
      </c>
      <c r="E115" s="57">
        <f t="shared" si="16"/>
        <v>6725870.4800000004</v>
      </c>
      <c r="F115" s="57">
        <f t="shared" si="18"/>
        <v>0</v>
      </c>
      <c r="I115" s="3">
        <v>12</v>
      </c>
      <c r="J115" s="46" t="s">
        <v>349</v>
      </c>
      <c r="K115" s="5">
        <v>40347</v>
      </c>
      <c r="L115" s="5">
        <v>40330</v>
      </c>
      <c r="M115" s="108">
        <v>41030</v>
      </c>
      <c r="N115" s="5">
        <v>44713</v>
      </c>
      <c r="O115" s="78">
        <f>IFERROR(INDEX(refinancements!$G$2:$G$105,MATCH($A115,De,0)),"")</f>
        <v>41426</v>
      </c>
      <c r="P115" t="s">
        <v>49</v>
      </c>
      <c r="Q115" t="s">
        <v>50</v>
      </c>
      <c r="R115" s="56">
        <f t="shared" si="19"/>
        <v>2010</v>
      </c>
      <c r="S115" s="56">
        <f t="shared" si="13"/>
        <v>2012</v>
      </c>
      <c r="T115" s="91">
        <f t="shared" si="14"/>
        <v>42.936767123139482</v>
      </c>
      <c r="U115" s="80" t="str">
        <f t="shared" si="17"/>
        <v>Struct</v>
      </c>
      <c r="V115" s="6">
        <v>0</v>
      </c>
      <c r="X115" s="4">
        <v>3.1699999999999999E-2</v>
      </c>
      <c r="AF115" t="s">
        <v>200</v>
      </c>
      <c r="AH115" s="23" t="s">
        <v>191</v>
      </c>
      <c r="AI115">
        <v>1.45</v>
      </c>
      <c r="AJ115" s="4">
        <v>3.1699999999999999E-2</v>
      </c>
      <c r="AL115">
        <v>0.499</v>
      </c>
      <c r="AP115" t="s">
        <v>649</v>
      </c>
    </row>
    <row r="116" spans="1:42">
      <c r="A116" s="48" t="s">
        <v>350</v>
      </c>
      <c r="B116" s="48"/>
      <c r="C116" t="s">
        <v>23</v>
      </c>
      <c r="D116" s="57">
        <v>4000000</v>
      </c>
      <c r="E116" s="57">
        <f t="shared" si="16"/>
        <v>0</v>
      </c>
      <c r="F116" s="57">
        <f t="shared" si="18"/>
        <v>0</v>
      </c>
      <c r="I116" s="3">
        <v>15</v>
      </c>
      <c r="J116" s="46" t="s">
        <v>351</v>
      </c>
      <c r="K116" s="5">
        <v>41065</v>
      </c>
      <c r="L116" s="5">
        <v>41030</v>
      </c>
      <c r="M116" s="5">
        <v>41030</v>
      </c>
      <c r="N116" s="5">
        <v>46508</v>
      </c>
      <c r="O116" s="78">
        <f>IFERROR(INDEX(refinancements!$G$2:$G$105,MATCH($A116,De,0)),"")</f>
        <v>41426</v>
      </c>
      <c r="P116" t="s">
        <v>83</v>
      </c>
      <c r="Q116" t="s">
        <v>13</v>
      </c>
      <c r="R116" s="56">
        <f t="shared" si="19"/>
        <v>2012</v>
      </c>
      <c r="S116" s="56">
        <f t="shared" si="13"/>
        <v>2012</v>
      </c>
      <c r="T116" s="91">
        <f t="shared" si="14"/>
        <v>1326027.397260274</v>
      </c>
      <c r="U116" s="80" t="str">
        <f t="shared" si="17"/>
        <v>Non_st</v>
      </c>
      <c r="V116" s="6">
        <v>1</v>
      </c>
      <c r="Y116" t="s">
        <v>66</v>
      </c>
      <c r="AA116">
        <v>1</v>
      </c>
      <c r="AB116" s="4">
        <v>2.98E-2</v>
      </c>
      <c r="AP116" t="s">
        <v>648</v>
      </c>
    </row>
    <row r="117" spans="1:42">
      <c r="A117" s="48" t="s">
        <v>352</v>
      </c>
      <c r="B117" s="48"/>
      <c r="C117" t="s">
        <v>17</v>
      </c>
      <c r="D117" s="57">
        <v>20000000</v>
      </c>
      <c r="E117" s="57">
        <f t="shared" si="16"/>
        <v>0</v>
      </c>
      <c r="F117" s="57">
        <f t="shared" si="18"/>
        <v>0</v>
      </c>
      <c r="I117" s="3">
        <v>20.8</v>
      </c>
      <c r="J117" s="46" t="s">
        <v>539</v>
      </c>
      <c r="K117" s="5">
        <v>41165</v>
      </c>
      <c r="L117" s="5">
        <v>41167</v>
      </c>
      <c r="M117" s="5">
        <v>41167</v>
      </c>
      <c r="N117" s="5">
        <v>48785</v>
      </c>
      <c r="O117" s="78" t="str">
        <f>IFERROR(INDEX(refinancements!$G$2:$G$105,MATCH($A117,De,0)),"")</f>
        <v/>
      </c>
      <c r="P117" t="s">
        <v>12</v>
      </c>
      <c r="Q117" t="s">
        <v>13</v>
      </c>
      <c r="R117" s="56">
        <f t="shared" si="19"/>
        <v>2012</v>
      </c>
      <c r="S117" s="56">
        <f t="shared" si="13"/>
        <v>2012</v>
      </c>
      <c r="T117" s="91">
        <f t="shared" si="14"/>
        <v>14136986.301369863</v>
      </c>
      <c r="U117" s="80" t="str">
        <f t="shared" si="17"/>
        <v>Non_st</v>
      </c>
      <c r="V117" s="6">
        <v>5</v>
      </c>
      <c r="W117" s="6">
        <v>1</v>
      </c>
      <c r="X117" s="4">
        <v>4.5199999999999997E-2</v>
      </c>
    </row>
    <row r="118" spans="1:42">
      <c r="A118" s="48" t="s">
        <v>493</v>
      </c>
      <c r="B118" s="48" t="s">
        <v>528</v>
      </c>
      <c r="C118" t="s">
        <v>23</v>
      </c>
      <c r="D118" s="57">
        <v>9599787.4700000007</v>
      </c>
      <c r="E118" s="57">
        <f t="shared" si="16"/>
        <v>9600000</v>
      </c>
      <c r="F118" s="57">
        <f t="shared" si="18"/>
        <v>0</v>
      </c>
      <c r="I118" s="3">
        <v>17</v>
      </c>
      <c r="J118" s="46" t="s">
        <v>337</v>
      </c>
      <c r="K118" s="5">
        <v>41242</v>
      </c>
      <c r="L118" s="5">
        <v>41244</v>
      </c>
      <c r="M118" s="5">
        <v>41244</v>
      </c>
      <c r="N118" s="5">
        <v>47453</v>
      </c>
      <c r="O118" s="78">
        <f>IFERROR(INDEX(refinancements!$G$2:$G$105,MATCH($A118,De,0)),"")</f>
        <v>42675</v>
      </c>
      <c r="P118" t="s">
        <v>49</v>
      </c>
      <c r="Q118" t="s">
        <v>50</v>
      </c>
      <c r="R118" s="56">
        <f t="shared" si="19"/>
        <v>2012</v>
      </c>
      <c r="S118" s="56">
        <f t="shared" si="13"/>
        <v>2012</v>
      </c>
      <c r="T118" s="91">
        <f t="shared" si="14"/>
        <v>0</v>
      </c>
      <c r="U118" s="80" t="str">
        <f t="shared" si="17"/>
        <v>Struct</v>
      </c>
      <c r="V118" s="6">
        <v>0</v>
      </c>
      <c r="X118" s="4">
        <v>2.9899999999999999E-2</v>
      </c>
      <c r="AF118" t="s">
        <v>200</v>
      </c>
      <c r="AH118" s="23" t="s">
        <v>191</v>
      </c>
      <c r="AI118">
        <v>1.4450000000000001</v>
      </c>
      <c r="AJ118" s="4">
        <v>2.9899999999999999E-2</v>
      </c>
      <c r="AL118">
        <v>0.48499999999999999</v>
      </c>
    </row>
    <row r="119" spans="1:42">
      <c r="A119" s="48" t="s">
        <v>495</v>
      </c>
      <c r="B119" s="48" t="s">
        <v>516</v>
      </c>
      <c r="C119" t="s">
        <v>23</v>
      </c>
      <c r="D119" s="57">
        <v>8290530.2000000002</v>
      </c>
      <c r="E119" s="57">
        <f t="shared" si="16"/>
        <v>6841000</v>
      </c>
      <c r="F119" s="57">
        <f t="shared" si="18"/>
        <v>1450000</v>
      </c>
      <c r="G119" s="57">
        <v>1450000</v>
      </c>
      <c r="I119" s="3">
        <v>21</v>
      </c>
      <c r="J119" s="46" t="s">
        <v>353</v>
      </c>
      <c r="K119" s="5">
        <v>41242</v>
      </c>
      <c r="L119" s="5">
        <v>41244</v>
      </c>
      <c r="M119" s="5">
        <v>41244</v>
      </c>
      <c r="N119" s="5">
        <v>48914</v>
      </c>
      <c r="O119" s="78" t="str">
        <f>IFERROR(INDEX(refinancements!$G$2:$G$105,MATCH($A119,De,0)),"")</f>
        <v/>
      </c>
      <c r="P119" t="s">
        <v>12</v>
      </c>
      <c r="Q119" t="s">
        <v>13</v>
      </c>
      <c r="R119" s="56">
        <f t="shared" si="19"/>
        <v>2012</v>
      </c>
      <c r="S119" s="56">
        <f t="shared" si="13"/>
        <v>2012</v>
      </c>
      <c r="T119" s="91">
        <f t="shared" si="14"/>
        <v>1330821.9178082191</v>
      </c>
      <c r="U119" s="80" t="str">
        <f t="shared" si="17"/>
        <v>Restr_sec</v>
      </c>
      <c r="V119" s="6">
        <v>1</v>
      </c>
      <c r="X119" s="4">
        <v>5.1499999999999997E-2</v>
      </c>
    </row>
    <row r="120" spans="1:42">
      <c r="A120" s="48" t="s">
        <v>354</v>
      </c>
      <c r="B120" s="48"/>
      <c r="C120" t="s">
        <v>17</v>
      </c>
      <c r="D120" s="57">
        <v>11348819.67</v>
      </c>
      <c r="E120" s="57">
        <f t="shared" si="16"/>
        <v>11349000</v>
      </c>
      <c r="F120" s="57">
        <f t="shared" si="18"/>
        <v>0</v>
      </c>
      <c r="I120" s="3">
        <v>13</v>
      </c>
      <c r="J120" s="46" t="s">
        <v>236</v>
      </c>
      <c r="K120" s="5">
        <v>41565</v>
      </c>
      <c r="L120" s="5">
        <v>41330</v>
      </c>
      <c r="M120" s="5">
        <v>41330</v>
      </c>
      <c r="N120" s="5">
        <v>46078</v>
      </c>
      <c r="O120" s="78">
        <f>IFERROR(INDEX(refinancements!$G$2:$G$105,MATCH($A120,De,0)),"")</f>
        <v>41695</v>
      </c>
      <c r="P120" t="s">
        <v>229</v>
      </c>
      <c r="Q120" t="s">
        <v>238</v>
      </c>
      <c r="R120" s="56">
        <f t="shared" si="19"/>
        <v>2013</v>
      </c>
      <c r="S120" s="56">
        <f t="shared" si="13"/>
        <v>2013</v>
      </c>
      <c r="T120" s="91">
        <f t="shared" si="14"/>
        <v>0</v>
      </c>
      <c r="U120" s="80" t="str">
        <f t="shared" si="17"/>
        <v>Struct</v>
      </c>
      <c r="V120" s="6">
        <v>1</v>
      </c>
      <c r="X120" s="4">
        <v>0.28039999999999998</v>
      </c>
      <c r="Y120" t="s">
        <v>245</v>
      </c>
      <c r="AA120">
        <v>-5</v>
      </c>
      <c r="AC120" s="4" t="s">
        <v>321</v>
      </c>
      <c r="AD120">
        <v>5</v>
      </c>
      <c r="AE120" s="5"/>
      <c r="AN120" s="4">
        <v>0.03</v>
      </c>
      <c r="AO120" s="4">
        <v>0.11</v>
      </c>
      <c r="AP120" t="s">
        <v>355</v>
      </c>
    </row>
    <row r="121" spans="1:42">
      <c r="A121" s="48" t="s">
        <v>506</v>
      </c>
      <c r="B121" s="48" t="s">
        <v>527</v>
      </c>
      <c r="C121" t="s">
        <v>17</v>
      </c>
      <c r="D121" s="57">
        <v>4051887.17</v>
      </c>
      <c r="E121" s="57">
        <f t="shared" si="16"/>
        <v>4052000</v>
      </c>
      <c r="F121" s="57">
        <f t="shared" si="18"/>
        <v>0</v>
      </c>
      <c r="I121" s="3">
        <v>20</v>
      </c>
      <c r="J121" s="46" t="s">
        <v>356</v>
      </c>
      <c r="K121" s="5">
        <v>41165</v>
      </c>
      <c r="L121" s="5">
        <v>41330</v>
      </c>
      <c r="M121" s="5">
        <v>41330</v>
      </c>
      <c r="N121" s="5">
        <v>48635</v>
      </c>
      <c r="O121" s="78" t="str">
        <f>IFERROR(INDEX(refinancements!$G$2:$G$105,MATCH($A121,De,0)),"")</f>
        <v/>
      </c>
      <c r="P121" t="s">
        <v>12</v>
      </c>
      <c r="Q121" t="s">
        <v>13</v>
      </c>
      <c r="R121" s="56">
        <f t="shared" si="19"/>
        <v>2012</v>
      </c>
      <c r="S121" s="56">
        <f t="shared" si="13"/>
        <v>2013</v>
      </c>
      <c r="T121" s="91">
        <f t="shared" si="14"/>
        <v>0</v>
      </c>
      <c r="U121" s="80" t="str">
        <f t="shared" si="17"/>
        <v>Restr_sec</v>
      </c>
      <c r="V121" s="6">
        <v>1</v>
      </c>
      <c r="X121" s="4">
        <v>4.4999999999999998E-2</v>
      </c>
    </row>
    <row r="122" spans="1:42">
      <c r="A122" s="48" t="s">
        <v>498</v>
      </c>
      <c r="B122" s="48" t="s">
        <v>517</v>
      </c>
      <c r="C122" t="s">
        <v>23</v>
      </c>
      <c r="D122" s="57">
        <v>16712087.300000001</v>
      </c>
      <c r="E122" s="57">
        <f t="shared" si="16"/>
        <v>9762000</v>
      </c>
      <c r="F122" s="57">
        <f t="shared" si="18"/>
        <v>2950000</v>
      </c>
      <c r="G122" s="57">
        <v>2950000</v>
      </c>
      <c r="I122" s="3">
        <v>20</v>
      </c>
      <c r="J122" s="46" t="s">
        <v>373</v>
      </c>
      <c r="K122" s="5">
        <v>41396</v>
      </c>
      <c r="L122" s="5">
        <v>41426</v>
      </c>
      <c r="M122" s="5">
        <v>41426</v>
      </c>
      <c r="N122" s="5">
        <v>48731</v>
      </c>
      <c r="O122" s="78" t="str">
        <f>IFERROR(INDEX(refinancements!$G$2:$G$105,MATCH($A122,De,0)),"")</f>
        <v/>
      </c>
      <c r="P122" t="s">
        <v>12</v>
      </c>
      <c r="Q122" t="s">
        <v>13</v>
      </c>
      <c r="R122" s="56">
        <f t="shared" si="19"/>
        <v>2013</v>
      </c>
      <c r="S122" s="56">
        <f t="shared" si="13"/>
        <v>2013</v>
      </c>
      <c r="T122" s="91">
        <f t="shared" si="14"/>
        <v>2875205.4794520549</v>
      </c>
      <c r="U122" s="80" t="str">
        <f t="shared" si="17"/>
        <v>Restr_sec</v>
      </c>
      <c r="V122" s="6">
        <v>1</v>
      </c>
      <c r="X122" s="4">
        <v>4.9799999999999997E-2</v>
      </c>
    </row>
    <row r="123" spans="1:42">
      <c r="A123" s="48" t="s">
        <v>357</v>
      </c>
      <c r="B123" s="48"/>
      <c r="C123" t="s">
        <v>17</v>
      </c>
      <c r="D123" s="57">
        <v>10000000</v>
      </c>
      <c r="E123" s="57">
        <f t="shared" si="16"/>
        <v>0</v>
      </c>
      <c r="F123" s="57">
        <f t="shared" si="18"/>
        <v>0</v>
      </c>
      <c r="I123" s="3">
        <v>20</v>
      </c>
      <c r="J123" s="46" t="s">
        <v>374</v>
      </c>
      <c r="K123" s="5">
        <v>41565</v>
      </c>
      <c r="L123" s="5">
        <v>41639</v>
      </c>
      <c r="M123" s="5">
        <v>41639</v>
      </c>
      <c r="N123" s="5">
        <v>48944</v>
      </c>
      <c r="O123" s="78" t="str">
        <f>IFERROR(INDEX(refinancements!$G$2:$G$105,MATCH($A123,De,0)),"")</f>
        <v/>
      </c>
      <c r="P123" t="s">
        <v>12</v>
      </c>
      <c r="Q123" t="s">
        <v>13</v>
      </c>
      <c r="R123" s="56">
        <f t="shared" si="19"/>
        <v>2013</v>
      </c>
      <c r="S123" s="56">
        <f t="shared" si="13"/>
        <v>2013</v>
      </c>
      <c r="T123" s="91">
        <f t="shared" si="14"/>
        <v>9972602.7397260275</v>
      </c>
      <c r="U123" s="80" t="str">
        <f t="shared" si="17"/>
        <v>Non_st</v>
      </c>
      <c r="V123" s="6">
        <v>1</v>
      </c>
      <c r="W123" s="6">
        <v>1</v>
      </c>
      <c r="X123" s="4">
        <v>4.3499999999999997E-2</v>
      </c>
    </row>
    <row r="124" spans="1:42">
      <c r="A124" s="48" t="s">
        <v>358</v>
      </c>
      <c r="B124" s="48"/>
      <c r="C124" t="s">
        <v>218</v>
      </c>
      <c r="D124" s="57">
        <v>4071651.71</v>
      </c>
      <c r="E124" s="57">
        <f t="shared" si="16"/>
        <v>4072000</v>
      </c>
      <c r="F124" s="57">
        <f t="shared" si="18"/>
        <v>0</v>
      </c>
      <c r="I124" s="3">
        <v>21</v>
      </c>
      <c r="J124" s="46" t="s">
        <v>375</v>
      </c>
      <c r="K124" s="5">
        <v>41787</v>
      </c>
      <c r="L124" s="5">
        <v>41640</v>
      </c>
      <c r="M124" s="5">
        <v>41640</v>
      </c>
      <c r="N124" s="5">
        <v>49310</v>
      </c>
      <c r="O124" s="78" t="str">
        <f>IFERROR(INDEX(refinancements!$G$2:$G$105,MATCH($A124,De,0)),"")</f>
        <v/>
      </c>
      <c r="P124" t="s">
        <v>12</v>
      </c>
      <c r="Q124" t="s">
        <v>13</v>
      </c>
      <c r="R124" s="56">
        <f t="shared" si="19"/>
        <v>2014</v>
      </c>
      <c r="S124" s="56">
        <f t="shared" si="13"/>
        <v>2014</v>
      </c>
      <c r="T124" s="91">
        <f t="shared" si="14"/>
        <v>0</v>
      </c>
      <c r="U124" s="80" t="str">
        <f t="shared" si="17"/>
        <v>Restr_sec</v>
      </c>
      <c r="V124" s="6">
        <v>1</v>
      </c>
      <c r="X124" s="4">
        <v>4.8000000000000001E-2</v>
      </c>
    </row>
    <row r="125" spans="1:42">
      <c r="A125" s="48" t="s">
        <v>359</v>
      </c>
      <c r="B125" s="48"/>
      <c r="C125" t="s">
        <v>23</v>
      </c>
      <c r="D125" s="57">
        <v>24569029.09</v>
      </c>
      <c r="E125" s="57">
        <f t="shared" si="16"/>
        <v>7369000</v>
      </c>
      <c r="F125" s="57">
        <f t="shared" si="18"/>
        <v>2200000</v>
      </c>
      <c r="G125" s="57">
        <v>2200000</v>
      </c>
      <c r="I125" s="3">
        <v>19.829999999999998</v>
      </c>
      <c r="J125" s="46" t="s">
        <v>376</v>
      </c>
      <c r="K125" s="5">
        <v>41593</v>
      </c>
      <c r="L125" s="5">
        <v>41654</v>
      </c>
      <c r="M125" s="5">
        <v>41654</v>
      </c>
      <c r="N125" s="5">
        <v>48884</v>
      </c>
      <c r="O125" s="78" t="str">
        <f>IFERROR(INDEX(refinancements!$G$2:$G$105,MATCH($A125,De,0)),"")</f>
        <v/>
      </c>
      <c r="P125" t="s">
        <v>12</v>
      </c>
      <c r="Q125" t="s">
        <v>13</v>
      </c>
      <c r="R125" s="56">
        <f t="shared" si="19"/>
        <v>2013</v>
      </c>
      <c r="S125" s="56">
        <f t="shared" si="13"/>
        <v>2014</v>
      </c>
      <c r="T125" s="91">
        <f t="shared" si="14"/>
        <v>659726.0273972603</v>
      </c>
      <c r="U125" s="80" t="str">
        <f t="shared" si="17"/>
        <v>Restr_sec</v>
      </c>
      <c r="V125" s="6">
        <v>1</v>
      </c>
      <c r="X125" s="4">
        <v>4.6399999999999997E-2</v>
      </c>
    </row>
    <row r="126" spans="1:42">
      <c r="A126" s="48" t="s">
        <v>360</v>
      </c>
      <c r="B126" s="48"/>
      <c r="C126" t="s">
        <v>17</v>
      </c>
      <c r="D126" s="57">
        <v>10562131.949999999</v>
      </c>
      <c r="E126" s="57">
        <f t="shared" si="16"/>
        <v>10562000</v>
      </c>
      <c r="F126" s="57">
        <f t="shared" si="18"/>
        <v>0</v>
      </c>
      <c r="I126" s="61">
        <v>5</v>
      </c>
      <c r="J126" s="46" t="s">
        <v>236</v>
      </c>
      <c r="K126" s="5">
        <v>41565</v>
      </c>
      <c r="L126" s="5">
        <v>41695</v>
      </c>
      <c r="M126" s="5">
        <v>41695</v>
      </c>
      <c r="N126" s="73">
        <v>43521</v>
      </c>
      <c r="O126" s="78">
        <f>IFERROR(INDEX(refinancements!$G$2:$G$105,MATCH($A126,De,0)),"")</f>
        <v>43156</v>
      </c>
      <c r="P126" t="s">
        <v>229</v>
      </c>
      <c r="Q126" t="s">
        <v>238</v>
      </c>
      <c r="R126" s="56">
        <f t="shared" si="19"/>
        <v>2013</v>
      </c>
      <c r="S126" s="56">
        <f t="shared" si="13"/>
        <v>2014</v>
      </c>
      <c r="T126" s="91">
        <f t="shared" si="14"/>
        <v>0</v>
      </c>
      <c r="U126" s="80" t="str">
        <f t="shared" si="17"/>
        <v>Struct</v>
      </c>
      <c r="V126" s="6">
        <v>5</v>
      </c>
      <c r="X126" s="4">
        <v>0.28039999999999998</v>
      </c>
      <c r="Y126" t="s">
        <v>245</v>
      </c>
      <c r="AA126">
        <v>-5</v>
      </c>
      <c r="AC126" s="4" t="s">
        <v>321</v>
      </c>
      <c r="AD126">
        <v>5</v>
      </c>
      <c r="AE126" s="5"/>
      <c r="AN126" s="4">
        <v>0.03</v>
      </c>
      <c r="AO126" s="4">
        <v>0.11</v>
      </c>
      <c r="AP126" t="s">
        <v>390</v>
      </c>
    </row>
    <row r="127" spans="1:42">
      <c r="A127" s="48" t="s">
        <v>361</v>
      </c>
      <c r="B127" s="48"/>
      <c r="C127" t="s">
        <v>17</v>
      </c>
      <c r="D127" s="57">
        <v>2536377</v>
      </c>
      <c r="E127" s="57">
        <f t="shared" si="16"/>
        <v>0</v>
      </c>
      <c r="F127" s="57">
        <f t="shared" si="18"/>
        <v>2536000</v>
      </c>
      <c r="I127" s="3">
        <v>12</v>
      </c>
      <c r="J127" s="46" t="s">
        <v>372</v>
      </c>
      <c r="K127" s="5">
        <v>41705</v>
      </c>
      <c r="L127" s="5">
        <v>41695</v>
      </c>
      <c r="M127" s="5">
        <v>41695</v>
      </c>
      <c r="N127" s="5">
        <v>46078</v>
      </c>
      <c r="O127" s="78" t="str">
        <f>IFERROR(INDEX(refinancements!$G$2:$G$105,MATCH($A127,De,0)),"")</f>
        <v/>
      </c>
      <c r="P127" t="s">
        <v>12</v>
      </c>
      <c r="Q127" t="s">
        <v>13</v>
      </c>
      <c r="R127" s="56">
        <f t="shared" si="19"/>
        <v>2014</v>
      </c>
      <c r="S127" s="56">
        <f t="shared" si="13"/>
        <v>2014</v>
      </c>
      <c r="T127" s="91">
        <f t="shared" si="14"/>
        <v>382136.98630136985</v>
      </c>
      <c r="U127" s="80" t="str">
        <f t="shared" si="17"/>
        <v>Restr_sec</v>
      </c>
      <c r="V127" s="6">
        <v>1</v>
      </c>
      <c r="X127" s="4">
        <v>4.7300000000000002E-2</v>
      </c>
    </row>
    <row r="128" spans="1:42">
      <c r="A128" s="48" t="s">
        <v>362</v>
      </c>
      <c r="B128" s="48"/>
      <c r="C128" t="s">
        <v>218</v>
      </c>
      <c r="D128" s="57">
        <v>3394508.53</v>
      </c>
      <c r="E128" s="57">
        <f t="shared" si="16"/>
        <v>3395000</v>
      </c>
      <c r="F128" s="57">
        <f t="shared" si="18"/>
        <v>0</v>
      </c>
      <c r="I128" s="3">
        <v>21</v>
      </c>
      <c r="J128" s="46" t="s">
        <v>375</v>
      </c>
      <c r="K128" s="5">
        <v>41787</v>
      </c>
      <c r="L128" s="5">
        <v>41730</v>
      </c>
      <c r="M128" s="5">
        <v>41730</v>
      </c>
      <c r="N128" s="5">
        <v>49400</v>
      </c>
      <c r="O128" s="78" t="str">
        <f>IFERROR(INDEX(refinancements!$G$2:$G$105,MATCH($A128,De,0)),"")</f>
        <v/>
      </c>
      <c r="P128" t="s">
        <v>12</v>
      </c>
      <c r="Q128" t="s">
        <v>13</v>
      </c>
      <c r="R128" s="56">
        <f t="shared" si="19"/>
        <v>2014</v>
      </c>
      <c r="S128" s="56">
        <f t="shared" si="13"/>
        <v>2014</v>
      </c>
      <c r="T128" s="91">
        <f t="shared" si="14"/>
        <v>0</v>
      </c>
      <c r="U128" s="80" t="str">
        <f t="shared" si="17"/>
        <v>Restr_sec</v>
      </c>
      <c r="V128" s="6">
        <v>1</v>
      </c>
      <c r="X128" s="4">
        <v>4.8000000000000001E-2</v>
      </c>
    </row>
    <row r="129" spans="1:42">
      <c r="A129" s="48" t="s">
        <v>363</v>
      </c>
      <c r="B129" s="48"/>
      <c r="C129" t="s">
        <v>23</v>
      </c>
      <c r="D129" s="57">
        <v>6000000</v>
      </c>
      <c r="E129" s="57">
        <f t="shared" si="16"/>
        <v>0</v>
      </c>
      <c r="F129" s="57">
        <f t="shared" si="18"/>
        <v>0</v>
      </c>
      <c r="I129" s="3">
        <v>15</v>
      </c>
      <c r="J129" s="46" t="s">
        <v>377</v>
      </c>
      <c r="K129" s="5">
        <v>41396</v>
      </c>
      <c r="L129" s="5">
        <v>41760</v>
      </c>
      <c r="M129" s="5">
        <v>41760</v>
      </c>
      <c r="N129" s="5">
        <v>47239</v>
      </c>
      <c r="O129" s="78" t="str">
        <f>IFERROR(INDEX(refinancements!$G$2:$G$105,MATCH($A129,De,0)),"")</f>
        <v/>
      </c>
      <c r="P129" t="s">
        <v>12</v>
      </c>
      <c r="Q129" t="s">
        <v>13</v>
      </c>
      <c r="R129" s="56">
        <f t="shared" si="19"/>
        <v>2013</v>
      </c>
      <c r="S129" s="56">
        <f t="shared" si="13"/>
        <v>2014</v>
      </c>
      <c r="T129" s="91">
        <f t="shared" si="14"/>
        <v>1972602.7397260272</v>
      </c>
      <c r="U129" s="80" t="str">
        <f t="shared" si="17"/>
        <v>Non_st</v>
      </c>
      <c r="V129" s="6">
        <v>1</v>
      </c>
      <c r="X129" s="4">
        <v>3.9600000000000003E-2</v>
      </c>
    </row>
    <row r="130" spans="1:42">
      <c r="A130" s="48" t="s">
        <v>364</v>
      </c>
      <c r="B130" s="48"/>
      <c r="C130" t="s">
        <v>23</v>
      </c>
      <c r="D130" s="57">
        <v>37514615.289999999</v>
      </c>
      <c r="E130" s="57">
        <f t="shared" ref="E130:E149" si="20">SUMPRODUCT((Vers=$A130)*Montant_transfere)</f>
        <v>19014000</v>
      </c>
      <c r="F130" s="57">
        <f t="shared" si="18"/>
        <v>3500000</v>
      </c>
      <c r="G130" s="57">
        <v>8480000</v>
      </c>
      <c r="H130" s="57">
        <v>4027000</v>
      </c>
      <c r="I130" s="3">
        <v>22</v>
      </c>
      <c r="J130" s="46" t="s">
        <v>378</v>
      </c>
      <c r="K130" s="5">
        <v>41704</v>
      </c>
      <c r="L130" s="5">
        <v>41760</v>
      </c>
      <c r="M130" s="5">
        <v>41760</v>
      </c>
      <c r="N130" s="5">
        <v>49796</v>
      </c>
      <c r="O130" s="78" t="str">
        <f>IFERROR(INDEX(refinancements!$G$2:$G$105,MATCH($A130,De,0)),"")</f>
        <v/>
      </c>
      <c r="P130" t="s">
        <v>12</v>
      </c>
      <c r="Q130" t="s">
        <v>13</v>
      </c>
      <c r="R130" s="56">
        <f t="shared" si="19"/>
        <v>2014</v>
      </c>
      <c r="S130" s="56">
        <f t="shared" si="13"/>
        <v>2014</v>
      </c>
      <c r="T130" s="91">
        <f t="shared" si="14"/>
        <v>6082520.5479452051</v>
      </c>
      <c r="U130" s="80" t="str">
        <f t="shared" ref="U130:U149" si="21">IF(Q130="1A",IF(P130="Livret A","Livr_A",IF(SUMPRODUCT((Vers=$A130)*De_non_1A)&gt;0,IF(H130&gt;1,"Restr_aidé","Restr_sec"),"Non_st")),"Struct")</f>
        <v>Restr_aidé</v>
      </c>
      <c r="V130" s="6">
        <v>1</v>
      </c>
      <c r="X130" s="4">
        <v>4.6699999999999998E-2</v>
      </c>
    </row>
    <row r="131" spans="1:42">
      <c r="A131" s="48" t="s">
        <v>365</v>
      </c>
      <c r="B131" s="48"/>
      <c r="C131" t="s">
        <v>218</v>
      </c>
      <c r="D131" s="57">
        <v>5000000</v>
      </c>
      <c r="E131" s="57">
        <f t="shared" si="20"/>
        <v>0</v>
      </c>
      <c r="F131" s="57">
        <f t="shared" si="18"/>
        <v>0</v>
      </c>
      <c r="I131" s="3">
        <v>20</v>
      </c>
      <c r="J131" s="46" t="s">
        <v>391</v>
      </c>
      <c r="K131" s="5">
        <v>41820</v>
      </c>
      <c r="L131" s="5">
        <v>41820</v>
      </c>
      <c r="M131" s="5">
        <v>41820</v>
      </c>
      <c r="N131" s="5">
        <v>49460</v>
      </c>
      <c r="O131" s="78" t="str">
        <f>IFERROR(INDEX(refinancements!$G$2:$G$105,MATCH($A131,De,0)),"")</f>
        <v/>
      </c>
      <c r="P131" t="s">
        <v>83</v>
      </c>
      <c r="Q131" t="s">
        <v>13</v>
      </c>
      <c r="R131" s="56">
        <f t="shared" si="19"/>
        <v>2014</v>
      </c>
      <c r="S131" s="56">
        <f t="shared" si="13"/>
        <v>2014</v>
      </c>
      <c r="T131" s="91">
        <f t="shared" ref="T131:T149" si="22">(M131-DATE(S131,1,1))/365*(ROUND(D131,-3)-E131)</f>
        <v>2465753.4246575343</v>
      </c>
      <c r="U131" s="80" t="str">
        <f t="shared" si="21"/>
        <v>Non_st</v>
      </c>
      <c r="V131" s="6">
        <v>1</v>
      </c>
      <c r="Y131" t="s">
        <v>42</v>
      </c>
      <c r="AA131">
        <v>1</v>
      </c>
      <c r="AB131" s="4">
        <v>1.83E-2</v>
      </c>
      <c r="AO131" s="4">
        <f>1.83%+2.92%</f>
        <v>4.7500000000000001E-2</v>
      </c>
      <c r="AP131" t="s">
        <v>447</v>
      </c>
    </row>
    <row r="132" spans="1:42">
      <c r="A132" s="48" t="s">
        <v>366</v>
      </c>
      <c r="B132" s="48"/>
      <c r="C132" t="s">
        <v>17</v>
      </c>
      <c r="D132" s="57">
        <v>10000000</v>
      </c>
      <c r="E132" s="57">
        <f t="shared" si="20"/>
        <v>0</v>
      </c>
      <c r="F132" s="57">
        <f t="shared" si="18"/>
        <v>0</v>
      </c>
      <c r="I132" s="3">
        <v>20</v>
      </c>
      <c r="J132" s="46" t="s">
        <v>374</v>
      </c>
      <c r="K132" s="5">
        <v>41565</v>
      </c>
      <c r="L132" s="5">
        <v>41912</v>
      </c>
      <c r="M132" s="5">
        <v>41912</v>
      </c>
      <c r="N132" s="5">
        <v>49217</v>
      </c>
      <c r="O132" s="78" t="str">
        <f>IFERROR(INDEX(refinancements!$G$2:$G$105,MATCH($A132,De,0)),"")</f>
        <v/>
      </c>
      <c r="P132" t="s">
        <v>12</v>
      </c>
      <c r="Q132" t="s">
        <v>13</v>
      </c>
      <c r="R132" s="56">
        <f t="shared" si="19"/>
        <v>2013</v>
      </c>
      <c r="S132" s="56">
        <f t="shared" ref="S132:S149" si="23">YEAR(M132)</f>
        <v>2014</v>
      </c>
      <c r="T132" s="91">
        <f t="shared" si="22"/>
        <v>7452054.7945205485</v>
      </c>
      <c r="U132" s="80" t="str">
        <f t="shared" si="21"/>
        <v>Non_st</v>
      </c>
      <c r="V132" s="6">
        <v>1</v>
      </c>
      <c r="W132" s="6">
        <v>1</v>
      </c>
      <c r="X132" s="4">
        <v>4.3499999999999997E-2</v>
      </c>
    </row>
    <row r="133" spans="1:42">
      <c r="A133" s="48" t="s">
        <v>367</v>
      </c>
      <c r="B133" s="48"/>
      <c r="C133" t="s">
        <v>17</v>
      </c>
      <c r="D133" s="57">
        <v>10000000</v>
      </c>
      <c r="E133" s="57">
        <f t="shared" si="20"/>
        <v>0</v>
      </c>
      <c r="F133" s="57">
        <f t="shared" ref="F133:F149" si="24">SUMPRODUCT((Vers=A133)*IRA_en_sus)</f>
        <v>0</v>
      </c>
      <c r="I133" s="3">
        <v>20</v>
      </c>
      <c r="J133" s="46" t="s">
        <v>379</v>
      </c>
      <c r="K133" s="5">
        <v>41705</v>
      </c>
      <c r="L133" s="5">
        <v>42004</v>
      </c>
      <c r="M133" s="5">
        <v>42004</v>
      </c>
      <c r="N133" s="5">
        <v>49309</v>
      </c>
      <c r="O133" s="78" t="str">
        <f>IFERROR(INDEX(refinancements!$G$2:$G$105,MATCH($A133,De,0)),"")</f>
        <v/>
      </c>
      <c r="P133" t="s">
        <v>12</v>
      </c>
      <c r="Q133" t="s">
        <v>13</v>
      </c>
      <c r="R133" s="56">
        <f t="shared" si="19"/>
        <v>2014</v>
      </c>
      <c r="S133" s="56">
        <f t="shared" si="23"/>
        <v>2014</v>
      </c>
      <c r="T133" s="91">
        <f t="shared" si="22"/>
        <v>9972602.7397260275</v>
      </c>
      <c r="U133" s="80" t="str">
        <f t="shared" si="21"/>
        <v>Non_st</v>
      </c>
      <c r="V133" s="6">
        <v>1</v>
      </c>
      <c r="W133" s="6">
        <v>1</v>
      </c>
      <c r="X133" s="4">
        <v>4.1799999999999997E-2</v>
      </c>
    </row>
    <row r="134" spans="1:42">
      <c r="A134" s="48" t="s">
        <v>368</v>
      </c>
      <c r="B134" s="48"/>
      <c r="C134" t="s">
        <v>129</v>
      </c>
      <c r="D134" s="57">
        <v>5000000</v>
      </c>
      <c r="E134" s="57">
        <f t="shared" si="20"/>
        <v>0</v>
      </c>
      <c r="F134" s="57">
        <f t="shared" si="24"/>
        <v>0</v>
      </c>
      <c r="I134" s="3">
        <v>15</v>
      </c>
      <c r="J134" s="46" t="s">
        <v>380</v>
      </c>
      <c r="K134" s="5">
        <v>41705</v>
      </c>
      <c r="L134" s="5">
        <v>42048</v>
      </c>
      <c r="M134" s="5">
        <v>42048</v>
      </c>
      <c r="N134" s="5">
        <v>47527</v>
      </c>
      <c r="O134" s="78" t="str">
        <f>IFERROR(INDEX(refinancements!$G$2:$G$105,MATCH($A134,De,0)),"")</f>
        <v/>
      </c>
      <c r="P134" t="s">
        <v>12</v>
      </c>
      <c r="Q134" t="s">
        <v>13</v>
      </c>
      <c r="R134" s="56">
        <f t="shared" si="19"/>
        <v>2014</v>
      </c>
      <c r="S134" s="56">
        <f t="shared" si="23"/>
        <v>2015</v>
      </c>
      <c r="T134" s="91">
        <f t="shared" si="22"/>
        <v>589041.09589041094</v>
      </c>
      <c r="U134" s="80" t="str">
        <f t="shared" si="21"/>
        <v>Non_st</v>
      </c>
      <c r="V134" s="6">
        <v>1</v>
      </c>
      <c r="X134" s="4">
        <v>3.7199999999999997E-2</v>
      </c>
    </row>
    <row r="135" spans="1:42">
      <c r="A135" s="48" t="s">
        <v>525</v>
      </c>
      <c r="B135" s="48" t="s">
        <v>526</v>
      </c>
      <c r="C135" t="s">
        <v>23</v>
      </c>
      <c r="D135" s="57">
        <v>17761140.059999999</v>
      </c>
      <c r="E135" s="57">
        <f t="shared" si="20"/>
        <v>5911000</v>
      </c>
      <c r="F135" s="57">
        <f t="shared" si="24"/>
        <v>6850000</v>
      </c>
      <c r="G135" s="57">
        <v>10280000</v>
      </c>
      <c r="H135" s="57">
        <v>5507000</v>
      </c>
      <c r="I135" s="3">
        <v>20</v>
      </c>
      <c r="J135" s="46" t="s">
        <v>381</v>
      </c>
      <c r="K135" s="5">
        <v>42118</v>
      </c>
      <c r="L135" s="5">
        <v>42125</v>
      </c>
      <c r="M135" s="5">
        <v>42125</v>
      </c>
      <c r="N135" s="5">
        <v>49430</v>
      </c>
      <c r="O135" s="78" t="str">
        <f>IFERROR(INDEX(refinancements!$G$2:$G$105,MATCH($A135,De,0)),"")</f>
        <v/>
      </c>
      <c r="P135" t="s">
        <v>12</v>
      </c>
      <c r="Q135" t="s">
        <v>13</v>
      </c>
      <c r="R135" s="56">
        <f t="shared" si="19"/>
        <v>2015</v>
      </c>
      <c r="S135" s="56">
        <f t="shared" si="23"/>
        <v>2015</v>
      </c>
      <c r="T135" s="91">
        <f t="shared" si="22"/>
        <v>3895890.4109589038</v>
      </c>
      <c r="U135" s="80" t="str">
        <f t="shared" si="21"/>
        <v>Restr_aidé</v>
      </c>
      <c r="V135" s="6">
        <v>1</v>
      </c>
      <c r="X135" s="4">
        <v>3.4599999999999999E-2</v>
      </c>
      <c r="AP135" t="s">
        <v>449</v>
      </c>
    </row>
    <row r="136" spans="1:42">
      <c r="A136" s="48" t="s">
        <v>369</v>
      </c>
      <c r="B136" s="48"/>
      <c r="C136" t="s">
        <v>23</v>
      </c>
      <c r="D136" s="57">
        <v>9000000</v>
      </c>
      <c r="E136" s="57">
        <f t="shared" si="20"/>
        <v>3500000</v>
      </c>
      <c r="F136" s="57">
        <f t="shared" si="24"/>
        <v>5500000</v>
      </c>
      <c r="G136" s="57">
        <v>5500000</v>
      </c>
      <c r="I136" s="3">
        <v>25</v>
      </c>
      <c r="J136" s="46" t="s">
        <v>382</v>
      </c>
      <c r="K136" s="5">
        <v>42334</v>
      </c>
      <c r="L136" s="5">
        <v>42339</v>
      </c>
      <c r="M136" s="5">
        <v>42339</v>
      </c>
      <c r="N136" s="5">
        <v>51471</v>
      </c>
      <c r="O136" s="78" t="str">
        <f>IFERROR(INDEX(refinancements!$G$2:$G$105,MATCH($A136,De,0)),"")</f>
        <v/>
      </c>
      <c r="P136" t="s">
        <v>12</v>
      </c>
      <c r="Q136" t="s">
        <v>13</v>
      </c>
      <c r="R136" s="56">
        <f t="shared" si="19"/>
        <v>2015</v>
      </c>
      <c r="S136" s="56">
        <f t="shared" si="23"/>
        <v>2015</v>
      </c>
      <c r="T136" s="91">
        <f t="shared" si="22"/>
        <v>5032876.7123287674</v>
      </c>
      <c r="U136" s="80" t="str">
        <f t="shared" si="21"/>
        <v>Restr_sec</v>
      </c>
      <c r="V136" s="6">
        <v>1</v>
      </c>
      <c r="X136" s="4">
        <v>3.2300000000000002E-2</v>
      </c>
    </row>
    <row r="137" spans="1:42">
      <c r="A137" s="48" t="s">
        <v>370</v>
      </c>
      <c r="B137" s="48"/>
      <c r="C137" t="s">
        <v>7</v>
      </c>
      <c r="D137" s="57">
        <v>4791666.62</v>
      </c>
      <c r="E137" s="57">
        <f t="shared" si="20"/>
        <v>0</v>
      </c>
      <c r="F137" s="57">
        <f t="shared" si="24"/>
        <v>0</v>
      </c>
      <c r="I137" s="3">
        <v>15</v>
      </c>
      <c r="J137" s="46" t="s">
        <v>392</v>
      </c>
      <c r="K137" s="5">
        <v>42534</v>
      </c>
      <c r="L137" s="5">
        <v>42370</v>
      </c>
      <c r="M137" s="5">
        <v>42370</v>
      </c>
      <c r="N137" s="5">
        <v>47849</v>
      </c>
      <c r="O137" s="78" t="str">
        <f>IFERROR(INDEX(refinancements!$G$2:$G$105,MATCH($A137,De,0)),"")</f>
        <v/>
      </c>
      <c r="P137" t="s">
        <v>30</v>
      </c>
      <c r="Q137" t="s">
        <v>13</v>
      </c>
      <c r="R137" s="56">
        <f t="shared" si="19"/>
        <v>2016</v>
      </c>
      <c r="S137" s="56">
        <f t="shared" si="23"/>
        <v>2016</v>
      </c>
      <c r="T137" s="91">
        <f t="shared" si="22"/>
        <v>0</v>
      </c>
      <c r="U137" s="80" t="str">
        <f t="shared" si="21"/>
        <v>Livr_A</v>
      </c>
      <c r="V137" s="6">
        <v>1</v>
      </c>
      <c r="Y137" t="s">
        <v>30</v>
      </c>
      <c r="AA137">
        <v>1</v>
      </c>
      <c r="AB137" s="4">
        <v>7.4999999999999997E-3</v>
      </c>
    </row>
    <row r="138" spans="1:42">
      <c r="A138" s="48" t="s">
        <v>371</v>
      </c>
      <c r="B138" s="48"/>
      <c r="C138" t="s">
        <v>277</v>
      </c>
      <c r="D138" s="57">
        <v>10000000</v>
      </c>
      <c r="E138" s="57">
        <f t="shared" si="20"/>
        <v>0</v>
      </c>
      <c r="F138" s="57">
        <f t="shared" si="24"/>
        <v>0</v>
      </c>
      <c r="I138" s="3">
        <v>20</v>
      </c>
      <c r="J138" s="46" t="s">
        <v>383</v>
      </c>
      <c r="K138" s="5">
        <v>42332</v>
      </c>
      <c r="L138" s="5">
        <v>42408</v>
      </c>
      <c r="M138" s="5">
        <v>42408</v>
      </c>
      <c r="N138" s="5">
        <v>49704</v>
      </c>
      <c r="O138" s="78" t="str">
        <f>IFERROR(INDEX(refinancements!$G$2:$G$105,MATCH($A138,De,0)),"")</f>
        <v/>
      </c>
      <c r="P138" t="s">
        <v>12</v>
      </c>
      <c r="Q138" t="s">
        <v>13</v>
      </c>
      <c r="R138" s="56">
        <f t="shared" si="19"/>
        <v>2015</v>
      </c>
      <c r="S138" s="56">
        <f t="shared" si="23"/>
        <v>2016</v>
      </c>
      <c r="T138" s="91">
        <f t="shared" si="22"/>
        <v>1041095.8904109589</v>
      </c>
      <c r="U138" s="80" t="str">
        <f t="shared" si="21"/>
        <v>Non_st</v>
      </c>
      <c r="V138" s="6">
        <v>1</v>
      </c>
      <c r="X138" s="4">
        <v>2.3800000000000002E-2</v>
      </c>
    </row>
    <row r="139" spans="1:42">
      <c r="A139" s="48" t="s">
        <v>488</v>
      </c>
      <c r="B139" s="48" t="s">
        <v>512</v>
      </c>
      <c r="C139" t="s">
        <v>23</v>
      </c>
      <c r="D139" s="57">
        <v>10461759.779999999</v>
      </c>
      <c r="E139" s="57">
        <f t="shared" si="20"/>
        <v>10462000</v>
      </c>
      <c r="F139" s="57">
        <f t="shared" si="24"/>
        <v>3589000</v>
      </c>
      <c r="G139" s="57">
        <v>3589000</v>
      </c>
      <c r="H139" s="57">
        <v>846000</v>
      </c>
      <c r="I139" s="3">
        <v>19.75</v>
      </c>
      <c r="J139" s="46" t="s">
        <v>384</v>
      </c>
      <c r="K139" s="5">
        <v>42488</v>
      </c>
      <c r="L139" s="5">
        <v>42644</v>
      </c>
      <c r="M139" s="5">
        <v>42644</v>
      </c>
      <c r="N139" s="5">
        <v>49857</v>
      </c>
      <c r="O139" s="78" t="str">
        <f>IFERROR(INDEX(refinancements!$G$2:$G$105,MATCH($A139,De,0)),"")</f>
        <v/>
      </c>
      <c r="P139" t="s">
        <v>12</v>
      </c>
      <c r="Q139" t="s">
        <v>13</v>
      </c>
      <c r="R139" s="56">
        <f t="shared" si="19"/>
        <v>2016</v>
      </c>
      <c r="S139" s="56">
        <f t="shared" si="23"/>
        <v>2016</v>
      </c>
      <c r="T139" s="91">
        <f t="shared" si="22"/>
        <v>0</v>
      </c>
      <c r="U139" s="80" t="str">
        <f t="shared" si="21"/>
        <v>Restr_aidé</v>
      </c>
      <c r="V139" s="6">
        <v>1</v>
      </c>
      <c r="X139" s="4">
        <v>4.0500000000000001E-2</v>
      </c>
    </row>
    <row r="140" spans="1:42">
      <c r="A140" s="48" t="s">
        <v>524</v>
      </c>
      <c r="B140" s="48" t="s">
        <v>512</v>
      </c>
      <c r="C140" t="s">
        <v>23</v>
      </c>
      <c r="D140" s="57">
        <v>3000000</v>
      </c>
      <c r="E140" s="57">
        <f t="shared" si="20"/>
        <v>0</v>
      </c>
      <c r="F140" s="57">
        <f t="shared" si="24"/>
        <v>0</v>
      </c>
      <c r="I140" s="3">
        <v>19.75</v>
      </c>
      <c r="J140" s="46" t="s">
        <v>385</v>
      </c>
      <c r="K140" s="5">
        <v>42488</v>
      </c>
      <c r="L140" s="5">
        <v>42644</v>
      </c>
      <c r="M140" s="5">
        <v>42644</v>
      </c>
      <c r="N140" s="5">
        <v>49857</v>
      </c>
      <c r="O140" s="78" t="str">
        <f>IFERROR(INDEX(refinancements!$G$2:$G$105,MATCH($A140,De,0)),"")</f>
        <v/>
      </c>
      <c r="P140" t="s">
        <v>12</v>
      </c>
      <c r="Q140" t="s">
        <v>13</v>
      </c>
      <c r="R140" s="56">
        <f t="shared" si="19"/>
        <v>2016</v>
      </c>
      <c r="S140" s="56">
        <f t="shared" si="23"/>
        <v>2016</v>
      </c>
      <c r="T140" s="91">
        <f t="shared" si="22"/>
        <v>2252054.7945205481</v>
      </c>
      <c r="U140" s="80" t="str">
        <f t="shared" si="21"/>
        <v>Non_st</v>
      </c>
      <c r="V140" s="6">
        <v>1</v>
      </c>
      <c r="X140" s="4">
        <v>2.75E-2</v>
      </c>
    </row>
    <row r="141" spans="1:42">
      <c r="A141" s="48" t="s">
        <v>494</v>
      </c>
      <c r="B141" s="48" t="s">
        <v>514</v>
      </c>
      <c r="C141" t="s">
        <v>23</v>
      </c>
      <c r="D141" s="57">
        <v>9128622.5700000003</v>
      </c>
      <c r="E141" s="57">
        <f t="shared" si="20"/>
        <v>4929000</v>
      </c>
      <c r="F141" s="57">
        <f t="shared" si="24"/>
        <v>4200000</v>
      </c>
      <c r="G141" s="57">
        <v>13679000</v>
      </c>
      <c r="H141" s="57">
        <v>8112000</v>
      </c>
      <c r="I141" s="3">
        <v>19.079999999999998</v>
      </c>
      <c r="J141" s="46" t="s">
        <v>386</v>
      </c>
      <c r="K141" s="5">
        <v>42488</v>
      </c>
      <c r="L141" s="5">
        <v>42675</v>
      </c>
      <c r="M141" s="5">
        <v>42675</v>
      </c>
      <c r="N141" s="5">
        <v>49644</v>
      </c>
      <c r="O141" s="78" t="str">
        <f>IFERROR(INDEX(refinancements!$G$2:$G$105,MATCH($A141,De,0)),"")</f>
        <v/>
      </c>
      <c r="P141" t="s">
        <v>12</v>
      </c>
      <c r="Q141" t="s">
        <v>13</v>
      </c>
      <c r="R141" s="56">
        <f t="shared" si="19"/>
        <v>2016</v>
      </c>
      <c r="S141" s="56">
        <f t="shared" si="23"/>
        <v>2016</v>
      </c>
      <c r="T141" s="91">
        <f t="shared" si="22"/>
        <v>3509589.0410958906</v>
      </c>
      <c r="U141" s="80" t="str">
        <f t="shared" si="21"/>
        <v>Restr_aidé</v>
      </c>
      <c r="V141" s="6">
        <v>1</v>
      </c>
      <c r="X141" s="4">
        <v>2.98E-2</v>
      </c>
    </row>
    <row r="142" spans="1:42">
      <c r="A142" s="48" t="s">
        <v>523</v>
      </c>
      <c r="B142" s="48" t="s">
        <v>514</v>
      </c>
      <c r="C142" t="s">
        <v>23</v>
      </c>
      <c r="D142" s="57">
        <v>17000000</v>
      </c>
      <c r="E142" s="57">
        <f t="shared" si="20"/>
        <v>0</v>
      </c>
      <c r="F142" s="57">
        <f t="shared" si="24"/>
        <v>0</v>
      </c>
      <c r="I142" s="3">
        <v>19</v>
      </c>
      <c r="J142" s="46" t="s">
        <v>385</v>
      </c>
      <c r="K142" s="5">
        <v>42488</v>
      </c>
      <c r="L142" s="5">
        <v>42675</v>
      </c>
      <c r="M142" s="5">
        <v>42675</v>
      </c>
      <c r="N142" s="5">
        <v>49614</v>
      </c>
      <c r="O142" s="78" t="str">
        <f>IFERROR(INDEX(refinancements!$G$2:$G$105,MATCH($A142,De,0)),"")</f>
        <v/>
      </c>
      <c r="P142" t="s">
        <v>12</v>
      </c>
      <c r="Q142" t="s">
        <v>13</v>
      </c>
      <c r="R142" s="56">
        <f t="shared" si="19"/>
        <v>2016</v>
      </c>
      <c r="S142" s="56">
        <f t="shared" si="23"/>
        <v>2016</v>
      </c>
      <c r="T142" s="91">
        <f t="shared" si="22"/>
        <v>14205479.452054795</v>
      </c>
      <c r="U142" s="80" t="str">
        <f t="shared" si="21"/>
        <v>Non_st</v>
      </c>
      <c r="V142" s="6">
        <v>1</v>
      </c>
      <c r="X142" s="4">
        <v>2.75E-2</v>
      </c>
    </row>
    <row r="143" spans="1:42">
      <c r="A143" s="48" t="s">
        <v>491</v>
      </c>
      <c r="B143" s="48" t="s">
        <v>513</v>
      </c>
      <c r="C143" t="s">
        <v>23</v>
      </c>
      <c r="D143" s="57">
        <v>10632524.449999999</v>
      </c>
      <c r="E143" s="57">
        <f t="shared" si="20"/>
        <v>7433000</v>
      </c>
      <c r="F143" s="57">
        <f t="shared" si="24"/>
        <v>3200000</v>
      </c>
      <c r="G143" s="57">
        <v>7337000</v>
      </c>
      <c r="H143" s="57">
        <v>1916000</v>
      </c>
      <c r="I143" s="3">
        <v>20</v>
      </c>
      <c r="J143" s="46" t="s">
        <v>387</v>
      </c>
      <c r="K143" s="5">
        <v>42488</v>
      </c>
      <c r="L143" s="5">
        <v>43040</v>
      </c>
      <c r="M143" s="5">
        <v>43040</v>
      </c>
      <c r="N143" s="5">
        <v>50345</v>
      </c>
      <c r="O143" s="78" t="str">
        <f>IFERROR(INDEX(refinancements!$G$2:$G$105,MATCH($A143,De,0)),"")</f>
        <v/>
      </c>
      <c r="P143" t="s">
        <v>12</v>
      </c>
      <c r="Q143" t="s">
        <v>13</v>
      </c>
      <c r="R143" s="56">
        <f t="shared" si="19"/>
        <v>2016</v>
      </c>
      <c r="S143" s="56">
        <f t="shared" si="23"/>
        <v>2017</v>
      </c>
      <c r="T143" s="91">
        <f t="shared" si="22"/>
        <v>2665205.4794520549</v>
      </c>
      <c r="U143" s="80" t="str">
        <f t="shared" si="21"/>
        <v>Restr_aidé</v>
      </c>
      <c r="V143" s="6">
        <v>1</v>
      </c>
      <c r="X143" s="4">
        <v>3.5499999999999997E-2</v>
      </c>
    </row>
    <row r="144" spans="1:42">
      <c r="A144" s="48" t="s">
        <v>492</v>
      </c>
      <c r="B144" s="48" t="s">
        <v>513</v>
      </c>
      <c r="C144" t="s">
        <v>23</v>
      </c>
      <c r="D144" s="57">
        <v>17000000</v>
      </c>
      <c r="E144" s="57">
        <f t="shared" si="20"/>
        <v>0</v>
      </c>
      <c r="F144" s="57">
        <f t="shared" si="24"/>
        <v>0</v>
      </c>
      <c r="I144" s="3">
        <v>20</v>
      </c>
      <c r="J144" s="46" t="s">
        <v>385</v>
      </c>
      <c r="K144" s="5">
        <v>42488</v>
      </c>
      <c r="L144" s="5">
        <v>43040</v>
      </c>
      <c r="M144" s="5">
        <v>43040</v>
      </c>
      <c r="N144" s="5">
        <v>50345</v>
      </c>
      <c r="O144" s="78" t="str">
        <f>IFERROR(INDEX(refinancements!$G$2:$G$105,MATCH($A144,De,0)),"")</f>
        <v/>
      </c>
      <c r="P144" t="s">
        <v>12</v>
      </c>
      <c r="Q144" t="s">
        <v>13</v>
      </c>
      <c r="R144" s="56">
        <f t="shared" si="19"/>
        <v>2016</v>
      </c>
      <c r="S144" s="56">
        <f t="shared" si="23"/>
        <v>2017</v>
      </c>
      <c r="T144" s="91">
        <f t="shared" si="22"/>
        <v>14158904.109589042</v>
      </c>
      <c r="U144" s="80" t="str">
        <f t="shared" si="21"/>
        <v>Non_st</v>
      </c>
      <c r="V144" s="6">
        <v>1</v>
      </c>
      <c r="X144" s="4">
        <v>2.75E-2</v>
      </c>
    </row>
    <row r="145" spans="1:42">
      <c r="A145" s="48" t="s">
        <v>500</v>
      </c>
      <c r="B145" s="48" t="s">
        <v>518</v>
      </c>
      <c r="C145" t="s">
        <v>23</v>
      </c>
      <c r="D145" s="57">
        <v>9247758.0099999998</v>
      </c>
      <c r="E145" s="57">
        <f t="shared" si="20"/>
        <v>9248000</v>
      </c>
      <c r="F145" s="57">
        <f t="shared" si="24"/>
        <v>0</v>
      </c>
      <c r="G145" s="57">
        <v>2340000</v>
      </c>
      <c r="H145" s="57">
        <v>560000</v>
      </c>
      <c r="I145" s="3">
        <v>17</v>
      </c>
      <c r="J145" s="46" t="s">
        <v>388</v>
      </c>
      <c r="K145" s="5">
        <v>42488</v>
      </c>
      <c r="L145" s="5">
        <v>43040</v>
      </c>
      <c r="M145" s="5">
        <v>43040</v>
      </c>
      <c r="N145" s="5">
        <v>49249</v>
      </c>
      <c r="O145" s="78" t="str">
        <f>IFERROR(INDEX(refinancements!$G$2:$G$105,MATCH($A145,De,0)),"")</f>
        <v/>
      </c>
      <c r="P145" t="s">
        <v>12</v>
      </c>
      <c r="Q145" t="s">
        <v>13</v>
      </c>
      <c r="R145" s="56">
        <f t="shared" si="19"/>
        <v>2016</v>
      </c>
      <c r="S145" s="56">
        <f t="shared" si="23"/>
        <v>2017</v>
      </c>
      <c r="T145" s="91">
        <f t="shared" si="22"/>
        <v>0</v>
      </c>
      <c r="U145" s="80" t="str">
        <f t="shared" si="21"/>
        <v>Restr_aidé</v>
      </c>
      <c r="V145" s="6">
        <v>1</v>
      </c>
      <c r="X145" s="4">
        <v>3.6799999999999999E-2</v>
      </c>
    </row>
    <row r="146" spans="1:42">
      <c r="A146" s="48" t="s">
        <v>519</v>
      </c>
      <c r="B146" s="48" t="s">
        <v>518</v>
      </c>
      <c r="C146" t="s">
        <v>23</v>
      </c>
      <c r="D146" s="57">
        <v>3000000</v>
      </c>
      <c r="E146" s="57">
        <f t="shared" si="20"/>
        <v>0</v>
      </c>
      <c r="F146" s="57">
        <f t="shared" si="24"/>
        <v>0</v>
      </c>
      <c r="I146" s="3">
        <v>17</v>
      </c>
      <c r="J146" s="46" t="s">
        <v>385</v>
      </c>
      <c r="K146" s="5">
        <v>42488</v>
      </c>
      <c r="L146" s="5">
        <v>43040</v>
      </c>
      <c r="M146" s="5">
        <v>43040</v>
      </c>
      <c r="N146" s="5">
        <v>49249</v>
      </c>
      <c r="O146" s="78" t="str">
        <f>IFERROR(INDEX(refinancements!$G$2:$G$105,MATCH($A146,De,0)),"")</f>
        <v/>
      </c>
      <c r="P146" t="s">
        <v>12</v>
      </c>
      <c r="Q146" t="s">
        <v>13</v>
      </c>
      <c r="R146" s="56">
        <f t="shared" si="19"/>
        <v>2016</v>
      </c>
      <c r="S146" s="56">
        <f t="shared" si="23"/>
        <v>2017</v>
      </c>
      <c r="T146" s="91">
        <f t="shared" si="22"/>
        <v>2498630.1369863013</v>
      </c>
      <c r="U146" s="80" t="str">
        <f t="shared" si="21"/>
        <v>Non_st</v>
      </c>
      <c r="V146" s="6">
        <v>1</v>
      </c>
      <c r="X146" s="4">
        <v>2.75E-2</v>
      </c>
    </row>
    <row r="147" spans="1:42">
      <c r="A147" s="48" t="s">
        <v>499</v>
      </c>
      <c r="B147" s="48" t="s">
        <v>520</v>
      </c>
      <c r="C147" t="s">
        <v>23</v>
      </c>
      <c r="D147" s="57">
        <v>6667442.8399999999</v>
      </c>
      <c r="E147" s="57">
        <f t="shared" si="20"/>
        <v>6667000</v>
      </c>
      <c r="F147" s="57">
        <f t="shared" si="24"/>
        <v>0</v>
      </c>
      <c r="G147" s="57">
        <v>1079000</v>
      </c>
      <c r="H147" s="57">
        <v>251000</v>
      </c>
      <c r="I147" s="3">
        <v>15</v>
      </c>
      <c r="J147" s="46" t="s">
        <v>89</v>
      </c>
      <c r="K147" s="5">
        <v>42496</v>
      </c>
      <c r="L147" s="5">
        <v>43101</v>
      </c>
      <c r="M147" s="5">
        <v>43101</v>
      </c>
      <c r="N147" s="5">
        <v>48580</v>
      </c>
      <c r="O147" s="78" t="str">
        <f>IFERROR(INDEX(refinancements!$G$2:$G$105,MATCH($A147,De,0)),"")</f>
        <v/>
      </c>
      <c r="P147" t="s">
        <v>12</v>
      </c>
      <c r="Q147" t="s">
        <v>13</v>
      </c>
      <c r="R147" s="56">
        <f t="shared" si="19"/>
        <v>2016</v>
      </c>
      <c r="S147" s="56">
        <f t="shared" si="23"/>
        <v>2018</v>
      </c>
      <c r="T147" s="91">
        <f t="shared" si="22"/>
        <v>0</v>
      </c>
      <c r="U147" s="80" t="str">
        <f t="shared" si="21"/>
        <v>Restr_aidé</v>
      </c>
      <c r="V147" s="6">
        <v>1</v>
      </c>
      <c r="X147" s="4">
        <v>2.7E-2</v>
      </c>
    </row>
    <row r="148" spans="1:42">
      <c r="A148" s="48" t="s">
        <v>521</v>
      </c>
      <c r="B148" s="48" t="s">
        <v>520</v>
      </c>
      <c r="C148" t="s">
        <v>23</v>
      </c>
      <c r="D148" s="57">
        <v>3000000</v>
      </c>
      <c r="E148" s="57">
        <f t="shared" si="20"/>
        <v>0</v>
      </c>
      <c r="F148" s="57">
        <f t="shared" si="24"/>
        <v>0</v>
      </c>
      <c r="I148" s="3">
        <v>15</v>
      </c>
      <c r="J148" s="46" t="s">
        <v>89</v>
      </c>
      <c r="K148" s="5">
        <v>42496</v>
      </c>
      <c r="L148" s="5">
        <v>43101</v>
      </c>
      <c r="M148" s="5">
        <v>43101</v>
      </c>
      <c r="N148" s="5">
        <v>48580</v>
      </c>
      <c r="O148" s="78" t="str">
        <f>IFERROR(INDEX(refinancements!$G$2:$G$105,MATCH($A148,De,0)),"")</f>
        <v/>
      </c>
      <c r="P148" t="s">
        <v>12</v>
      </c>
      <c r="Q148" t="s">
        <v>13</v>
      </c>
      <c r="R148" s="56">
        <f t="shared" si="19"/>
        <v>2016</v>
      </c>
      <c r="S148" s="56">
        <f t="shared" si="23"/>
        <v>2018</v>
      </c>
      <c r="T148" s="91">
        <f t="shared" si="22"/>
        <v>0</v>
      </c>
      <c r="U148" s="80" t="str">
        <f t="shared" si="21"/>
        <v>Non_st</v>
      </c>
      <c r="V148" s="6">
        <v>1</v>
      </c>
      <c r="X148" s="4">
        <v>2.7E-2</v>
      </c>
      <c r="AP148" t="s">
        <v>451</v>
      </c>
    </row>
    <row r="149" spans="1:42">
      <c r="A149" s="48" t="s">
        <v>505</v>
      </c>
      <c r="B149" s="48" t="s">
        <v>522</v>
      </c>
      <c r="C149" t="s">
        <v>17</v>
      </c>
      <c r="D149" s="57">
        <v>4675646.8499999996</v>
      </c>
      <c r="E149" s="57">
        <f t="shared" si="20"/>
        <v>4676000</v>
      </c>
      <c r="F149" s="57">
        <f t="shared" si="24"/>
        <v>0</v>
      </c>
      <c r="I149" s="3">
        <v>8</v>
      </c>
      <c r="J149" s="46" t="s">
        <v>389</v>
      </c>
      <c r="K149" s="5">
        <v>43157</v>
      </c>
      <c r="L149" s="5">
        <v>43156</v>
      </c>
      <c r="M149" s="5">
        <v>43156</v>
      </c>
      <c r="N149" s="5">
        <v>46078</v>
      </c>
      <c r="O149" s="78" t="str">
        <f>IFERROR(INDEX(refinancements!$G$2:$G$105,MATCH($A149,De,0)),"")</f>
        <v/>
      </c>
      <c r="P149" t="s">
        <v>12</v>
      </c>
      <c r="Q149" t="s">
        <v>13</v>
      </c>
      <c r="R149" s="56">
        <f t="shared" si="19"/>
        <v>2018</v>
      </c>
      <c r="S149" s="56">
        <f t="shared" si="23"/>
        <v>2018</v>
      </c>
      <c r="T149" s="91">
        <f t="shared" si="22"/>
        <v>0</v>
      </c>
      <c r="U149" s="80" t="str">
        <f t="shared" si="21"/>
        <v>Restr_sec</v>
      </c>
      <c r="V149" s="6">
        <v>1</v>
      </c>
      <c r="X149" s="4">
        <v>7.6E-3</v>
      </c>
    </row>
    <row r="151" spans="1:42">
      <c r="C151" s="57">
        <f>D151-SUM(E151:F151)</f>
        <v>37970468.629999995</v>
      </c>
      <c r="D151" s="57">
        <f>SUMPRODUCT(($Q$2:$Q$118="6F")*($K$2:$K$118&lt;DATE(2008,4,1)),D$2:D$118)</f>
        <v>154106962.63</v>
      </c>
      <c r="E151" s="57">
        <f>SUMPRODUCT(($Q$2:$Q$118="6F")*($K$2:$K$118&lt;DATE(2008,4,1)),E$2:E$118)</f>
        <v>115306494</v>
      </c>
      <c r="F151" s="57">
        <f>SUMPRODUCT(($Q$2:$Q$118="6F")*($K$2:$K$118&lt;DATE(2008,4,1)),F$2:F$118)</f>
        <v>830000</v>
      </c>
      <c r="Q151">
        <f>SUMPRODUCT(($Q$2:$Q$118="6F")*($K$2:$K$118&lt;DATE(2008,4,1)))</f>
        <v>14</v>
      </c>
    </row>
    <row r="152" spans="1:42">
      <c r="C152" s="57">
        <f>D152-SUM(E152:F152)</f>
        <v>8475723.9699999988</v>
      </c>
      <c r="D152" s="57">
        <f>SUMPRODUCT(($Q$2:$Q$118="6F")*($K$2:$K$118&gt;DATE(2008,4,1)),D$2:D$118)</f>
        <v>172705190.24000001</v>
      </c>
      <c r="E152" s="57">
        <f>SUMPRODUCT(($Q$2:$Q$118="6F")*($K$2:$K$118&gt;DATE(2008,4,1)),E$2:E$118)</f>
        <v>164229466.27000001</v>
      </c>
      <c r="F152" s="57">
        <f>SUMPRODUCT(($Q$2:$Q$118="6F")*($K$2:$K$118&gt;DATE(2008,4,1)),F$2:F$118)</f>
        <v>0</v>
      </c>
      <c r="Q152">
        <f>SUMPRODUCT(($Q$2:$Q$118="6F")*($K$2:$K$118&gt;DATE(2008,4,1)))</f>
        <v>17</v>
      </c>
    </row>
  </sheetData>
  <autoFilter ref="A1:AP149"/>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enableFormatConditionsCalculation="0"/>
  <dimension ref="A1:R109"/>
  <sheetViews>
    <sheetView topLeftCell="A103" workbookViewId="0">
      <pane ySplit="2060" topLeftCell="A22" activePane="bottomLeft"/>
      <selection activeCell="H103" sqref="H1:H1048576"/>
      <selection pane="bottomLeft" activeCell="F2" sqref="F2"/>
    </sheetView>
  </sheetViews>
  <sheetFormatPr baseColWidth="10" defaultRowHeight="15" x14ac:dyDescent="0"/>
  <cols>
    <col min="1" max="1" width="10" bestFit="1" customWidth="1"/>
    <col min="2" max="2" width="11.1640625" bestFit="1" customWidth="1"/>
    <col min="3" max="3" width="12.83203125" style="57" bestFit="1" customWidth="1"/>
    <col min="4" max="4" width="11.83203125" style="57" bestFit="1" customWidth="1"/>
    <col min="11" max="12" width="10.83203125" style="56"/>
    <col min="15" max="15" width="11.1640625" bestFit="1" customWidth="1"/>
  </cols>
  <sheetData>
    <row r="1" spans="1:18" ht="45">
      <c r="A1" s="7" t="s">
        <v>484</v>
      </c>
      <c r="B1" s="7" t="s">
        <v>485</v>
      </c>
      <c r="C1" s="62" t="s">
        <v>486</v>
      </c>
      <c r="D1" s="62" t="s">
        <v>510</v>
      </c>
      <c r="E1" s="62" t="s">
        <v>511</v>
      </c>
      <c r="F1" s="62" t="s">
        <v>717</v>
      </c>
      <c r="G1" s="62" t="s">
        <v>538</v>
      </c>
      <c r="H1" s="79" t="s">
        <v>548</v>
      </c>
      <c r="I1" s="79" t="s">
        <v>559</v>
      </c>
      <c r="J1" s="71" t="s">
        <v>730</v>
      </c>
      <c r="K1" s="92" t="s">
        <v>560</v>
      </c>
      <c r="L1" s="92" t="s">
        <v>668</v>
      </c>
      <c r="M1" s="71" t="s">
        <v>156</v>
      </c>
      <c r="N1" s="71" t="s">
        <v>637</v>
      </c>
      <c r="O1" s="71" t="s">
        <v>737</v>
      </c>
      <c r="P1" s="71" t="s">
        <v>739</v>
      </c>
      <c r="Q1" s="71" t="s">
        <v>738</v>
      </c>
      <c r="R1" s="71" t="s">
        <v>740</v>
      </c>
    </row>
    <row r="2" spans="1:18">
      <c r="A2" s="48" t="s">
        <v>569</v>
      </c>
      <c r="B2" s="48" t="s">
        <v>16</v>
      </c>
      <c r="C2" s="57">
        <v>11859925.98</v>
      </c>
      <c r="E2" s="57"/>
      <c r="F2" s="57">
        <f>SUMPRODUCT((emprunts!$A$2:$A$149=$B2)*emprunts!F$2:F$149)</f>
        <v>0</v>
      </c>
      <c r="G2" s="5">
        <f>IF(L2="",INDEX(emprunts!$M$2:$M$149,MATCH(B2,emprunts!$A$2:$A$149,0)),L2)</f>
        <v>37189</v>
      </c>
      <c r="H2" s="57">
        <f>IFERROR(1-(INDEX(emprunts!$Q$2:$Q$149,MATCH($A2,emprunts!$A$2:$A$149,0))="1A"),1)</f>
        <v>1</v>
      </c>
      <c r="I2">
        <f>YEAR(G2)</f>
        <v>2001</v>
      </c>
      <c r="J2">
        <f>1*(INDEX(emprunts!$H$2:$H$149,MATCH($B2,emprunts!$A$2:$A$149,0))&gt;1)</f>
        <v>0</v>
      </c>
      <c r="K2" s="80">
        <f>SUMPRODUCT((annee=$I2)*(emprunts_annees!$A$123:$A$1367=$A2),emprunts_annees!$X$123:$X$1367)-SUMPRODUCT((De=$A2)*(année_refi=$I2)*Montant_transfere)</f>
        <v>-11859925.98</v>
      </c>
      <c r="L2" s="80"/>
      <c r="O2" s="57">
        <f>IFERROR(0+(INDEX(emprunts!$Q$2:$Q$149,MATCH($B2,emprunts!$A$2:$A$149,0))="6F"),1)</f>
        <v>0</v>
      </c>
      <c r="P2" s="57">
        <f>IFERROR(0+(INDEX(emprunts!$Q$2:$Q$149,MATCH($A2,emprunts!$A$2:$A$149,0))="6F"),1)</f>
        <v>1</v>
      </c>
      <c r="Q2">
        <f>O2*P2</f>
        <v>0</v>
      </c>
      <c r="R2" s="5">
        <f>IF(W2="",INDEX(emprunts!$K$2:$K$149,MATCH($B2,emprunts!$A$2:$A$149,0)),W2)</f>
        <v>37243</v>
      </c>
    </row>
    <row r="3" spans="1:18">
      <c r="A3" s="48" t="s">
        <v>78</v>
      </c>
      <c r="B3" s="48" t="s">
        <v>125</v>
      </c>
      <c r="C3" s="57">
        <v>4558000</v>
      </c>
      <c r="E3" s="57"/>
      <c r="F3" s="57">
        <f>SUMPRODUCT((emprunts!$A$2:$A$149=$B3)*emprunts!F$2:F$149)</f>
        <v>0</v>
      </c>
      <c r="G3" s="5">
        <f>IF(L3="",INDEX(emprunts!$M$2:$M$149,MATCH(B3,emprunts!$A$2:$A$149,0)),L3)</f>
        <v>38443</v>
      </c>
      <c r="H3" s="57">
        <f>IFERROR(1-(INDEX(emprunts!$Q$2:$Q$149,MATCH($A3,emprunts!$A$2:$A$149,0))="1A"),"")</f>
        <v>1</v>
      </c>
      <c r="I3">
        <f>YEAR(G3)</f>
        <v>2005</v>
      </c>
      <c r="J3">
        <f>1*(INDEX(emprunts!$H$2:$H$149,MATCH($B3,emprunts!$A$2:$A$149,0))&gt;1)</f>
        <v>0</v>
      </c>
      <c r="K3" s="80">
        <f>SUMPRODUCT((annee=$I3)*(emprunts_annees!$A$123:$A$1367=$A3),emprunts_annees!$X$123:$X$1367)-SUMPRODUCT((De=$A3)*(année_refi=$I3)*Montant_transfere)</f>
        <v>0</v>
      </c>
      <c r="L3" s="80"/>
      <c r="O3" s="57">
        <f>IFERROR(0+(INDEX(emprunts!$Q$2:$Q$149,MATCH($B3,emprunts!$A$2:$A$149,0))="6F"),1)</f>
        <v>1</v>
      </c>
      <c r="P3" s="57">
        <f>IFERROR(0+(INDEX(emprunts!$Q$2:$Q$149,MATCH($A3,emprunts!$A$2:$A$149,0))="6F"),1)</f>
        <v>0</v>
      </c>
      <c r="Q3">
        <f t="shared" ref="Q3:Q66" si="0">O3*P3</f>
        <v>0</v>
      </c>
      <c r="R3" s="5">
        <f>IF(W3="",INDEX(emprunts!$K$2:$K$149,MATCH($B3,emprunts!$A$2:$A$149,0)),W3)</f>
        <v>38415</v>
      </c>
    </row>
    <row r="4" spans="1:18">
      <c r="A4" s="1" t="s">
        <v>64</v>
      </c>
      <c r="B4" s="1" t="s">
        <v>125</v>
      </c>
      <c r="C4" s="57">
        <v>7661000</v>
      </c>
      <c r="E4" s="57"/>
      <c r="F4" s="57">
        <f>SUMPRODUCT((emprunts!$A$2:$A$149=$B4)*emprunts!F$2:F$149)</f>
        <v>0</v>
      </c>
      <c r="G4" s="5">
        <f>IF(L4="",INDEX(emprunts!$M$2:$M$149,MATCH(B4,emprunts!$A$2:$A$149,0)),L4)</f>
        <v>38443</v>
      </c>
      <c r="H4" s="57">
        <f>IFERROR(1-(INDEX(emprunts!$Q$2:$Q$149,MATCH($A4,emprunts!$A$2:$A$149,0))="1A"),"")</f>
        <v>1</v>
      </c>
      <c r="I4">
        <f t="shared" ref="I4:I68" si="1">YEAR(G4)</f>
        <v>2005</v>
      </c>
      <c r="J4">
        <f>1*(INDEX(emprunts!$H$2:$H$149,MATCH($B4,emprunts!$A$2:$A$149,0))&gt;1)</f>
        <v>0</v>
      </c>
      <c r="K4" s="80">
        <f>SUMPRODUCT((annee=$I4)*(emprunts_annees!$A$123:$A$1367=$A4),emprunts_annees!$X$123:$X$1367)-SUMPRODUCT((De=$A4)*(année_refi=$I4)*Montant_transfere)</f>
        <v>0</v>
      </c>
      <c r="L4" s="80"/>
      <c r="O4" s="57">
        <f>IFERROR(0+(INDEX(emprunts!$Q$2:$Q$149,MATCH($B4,emprunts!$A$2:$A$149,0))="6F"),1)</f>
        <v>1</v>
      </c>
      <c r="P4" s="57">
        <f>IFERROR(0+(INDEX(emprunts!$Q$2:$Q$149,MATCH($A4,emprunts!$A$2:$A$149,0))="6F"),1)</f>
        <v>0</v>
      </c>
      <c r="Q4">
        <f t="shared" si="0"/>
        <v>0</v>
      </c>
      <c r="R4" s="5">
        <f>IF(W4="",INDEX(emprunts!$K$2:$K$149,MATCH($B4,emprunts!$A$2:$A$149,0)),W4)</f>
        <v>38415</v>
      </c>
    </row>
    <row r="5" spans="1:18">
      <c r="A5" s="1" t="s">
        <v>71</v>
      </c>
      <c r="B5" s="1" t="s">
        <v>125</v>
      </c>
      <c r="C5" s="57">
        <v>2253000</v>
      </c>
      <c r="E5" s="57"/>
      <c r="F5" s="57">
        <f>SUMPRODUCT((emprunts!$A$2:$A$149=$B5)*emprunts!F$2:F$149)</f>
        <v>0</v>
      </c>
      <c r="G5" s="5">
        <f>IF(L5="",INDEX(emprunts!$M$2:$M$149,MATCH(B5,emprunts!$A$2:$A$149,0)),L5)</f>
        <v>38443</v>
      </c>
      <c r="H5" s="57">
        <f>IFERROR(1-(INDEX(emprunts!$Q$2:$Q$149,MATCH($A5,emprunts!$A$2:$A$149,0))="1A"),"")</f>
        <v>1</v>
      </c>
      <c r="I5">
        <f t="shared" si="1"/>
        <v>2005</v>
      </c>
      <c r="J5">
        <f>1*(INDEX(emprunts!$H$2:$H$149,MATCH($B5,emprunts!$A$2:$A$149,0))&gt;1)</f>
        <v>0</v>
      </c>
      <c r="K5" s="80">
        <f>SUMPRODUCT((annee=$I5)*(emprunts_annees!$A$123:$A$1367=$A5),emprunts_annees!$X$123:$X$1367)-SUMPRODUCT((De=$A5)*(année_refi=$I5)*Montant_transfere)</f>
        <v>0</v>
      </c>
      <c r="L5" s="80"/>
      <c r="O5" s="57">
        <f>IFERROR(0+(INDEX(emprunts!$Q$2:$Q$149,MATCH($B5,emprunts!$A$2:$A$149,0))="6F"),1)</f>
        <v>1</v>
      </c>
      <c r="P5" s="57">
        <f>IFERROR(0+(INDEX(emprunts!$Q$2:$Q$149,MATCH($A5,emprunts!$A$2:$A$149,0))="6F"),1)</f>
        <v>0</v>
      </c>
      <c r="Q5">
        <f t="shared" si="0"/>
        <v>0</v>
      </c>
      <c r="R5" s="5">
        <f>IF(W5="",INDEX(emprunts!$K$2:$K$149,MATCH($B5,emprunts!$A$2:$A$149,0)),W5)</f>
        <v>38415</v>
      </c>
    </row>
    <row r="6" spans="1:18">
      <c r="A6" s="1" t="s">
        <v>125</v>
      </c>
      <c r="B6" s="1" t="s">
        <v>213</v>
      </c>
      <c r="C6" s="57">
        <v>14054000</v>
      </c>
      <c r="E6" s="57"/>
      <c r="F6" s="57">
        <f>SUMPRODUCT((emprunts!$A$2:$A$149=$B6)*emprunts!F$2:F$149)</f>
        <v>0</v>
      </c>
      <c r="G6" s="5">
        <f>IF(L6="",INDEX(emprunts!$M$2:$M$149,MATCH(B6,emprunts!$A$2:$A$149,0)),L6)</f>
        <v>38899</v>
      </c>
      <c r="H6" s="57">
        <f>IFERROR(1-(INDEX(emprunts!$Q$2:$Q$149,MATCH($A6,emprunts!$A$2:$A$149,0))="1A"),"")</f>
        <v>1</v>
      </c>
      <c r="I6">
        <f t="shared" si="1"/>
        <v>2006</v>
      </c>
      <c r="J6">
        <f>1*(INDEX(emprunts!$H$2:$H$149,MATCH($B6,emprunts!$A$2:$A$149,0))&gt;1)</f>
        <v>0</v>
      </c>
      <c r="K6" s="80">
        <f>SUMPRODUCT((annee=$I6)*(emprunts_annees!$A$123:$A$1367=$A6),emprunts_annees!$X$123:$X$1367)-SUMPRODUCT((De=$A6)*(année_refi=$I6)*Montant_transfere)</f>
        <v>0</v>
      </c>
      <c r="L6" s="80"/>
      <c r="O6" s="57">
        <f>IFERROR(0+(INDEX(emprunts!$Q$2:$Q$149,MATCH($B6,emprunts!$A$2:$A$149,0))="6F"),1)</f>
        <v>0</v>
      </c>
      <c r="P6" s="57">
        <f>IFERROR(0+(INDEX(emprunts!$Q$2:$Q$149,MATCH($A6,emprunts!$A$2:$A$149,0))="6F"),1)</f>
        <v>1</v>
      </c>
      <c r="Q6">
        <f t="shared" si="0"/>
        <v>0</v>
      </c>
      <c r="R6" s="5">
        <f>IF(W6="",INDEX(emprunts!$K$2:$K$149,MATCH($B6,emprunts!$A$2:$A$149,0)),W6)</f>
        <v>38840</v>
      </c>
    </row>
    <row r="7" spans="1:18">
      <c r="A7" s="1" t="s">
        <v>213</v>
      </c>
      <c r="B7" s="1" t="s">
        <v>239</v>
      </c>
      <c r="C7" s="57">
        <v>12311000</v>
      </c>
      <c r="E7" s="57"/>
      <c r="F7" s="57">
        <f>SUMPRODUCT((emprunts!$A$2:$A$149=$B7)*emprunts!F$2:F$149)</f>
        <v>0</v>
      </c>
      <c r="G7" s="5">
        <f>IF(L7="",INDEX(emprunts!$M$2:$M$149,MATCH(B7,emprunts!$A$2:$A$149,0)),L7)</f>
        <v>39783</v>
      </c>
      <c r="H7" s="57">
        <f>IFERROR(1-(INDEX(emprunts!$Q$2:$Q$149,MATCH($A7,emprunts!$A$2:$A$149,0))="1A"),"")</f>
        <v>1</v>
      </c>
      <c r="I7">
        <f t="shared" si="1"/>
        <v>2008</v>
      </c>
      <c r="J7">
        <f>1*(INDEX(emprunts!$H$2:$H$149,MATCH($B7,emprunts!$A$2:$A$149,0))&gt;1)</f>
        <v>0</v>
      </c>
      <c r="K7" s="80">
        <f>SUMPRODUCT((annee=$I7)*(emprunts_annees!$A$123:$A$1367=$A7),emprunts_annees!$X$123:$X$1367)-SUMPRODUCT((De=$A7)*(année_refi=$I7)*Montant_transfere)</f>
        <v>0</v>
      </c>
      <c r="L7" s="108">
        <v>39783</v>
      </c>
      <c r="M7" t="s">
        <v>671</v>
      </c>
      <c r="O7" s="57">
        <f>IFERROR(0+(INDEX(emprunts!$Q$2:$Q$149,MATCH($B7,emprunts!$A$2:$A$149,0))="6F"),1)</f>
        <v>0</v>
      </c>
      <c r="P7" s="57">
        <f>IFERROR(0+(INDEX(emprunts!$Q$2:$Q$149,MATCH($A7,emprunts!$A$2:$A$149,0))="6F"),1)</f>
        <v>0</v>
      </c>
      <c r="Q7">
        <f t="shared" si="0"/>
        <v>0</v>
      </c>
      <c r="R7" s="5">
        <f>IF(W7="",INDEX(emprunts!$K$2:$K$149,MATCH($B7,emprunts!$A$2:$A$149,0)),W7)</f>
        <v>39352</v>
      </c>
    </row>
    <row r="8" spans="1:18">
      <c r="A8" s="1" t="s">
        <v>239</v>
      </c>
      <c r="B8" s="1" t="s">
        <v>317</v>
      </c>
      <c r="C8" s="57">
        <v>12864000</v>
      </c>
      <c r="E8" s="57"/>
      <c r="F8" s="57">
        <f>SUMPRODUCT((emprunts!$A$2:$A$149=$B8)*emprunts!F$2:F$149)</f>
        <v>0</v>
      </c>
      <c r="G8" s="5">
        <f>IF(L8="",INDEX(emprunts!$M$2:$M$149,MATCH(B8,emprunts!$A$2:$A$149,0)),L8)</f>
        <v>40634</v>
      </c>
      <c r="H8" s="57">
        <f>IFERROR(1-(INDEX(emprunts!$Q$2:$Q$149,MATCH($A8,emprunts!$A$2:$A$149,0))="1A"),"")</f>
        <v>1</v>
      </c>
      <c r="I8">
        <f t="shared" si="1"/>
        <v>2011</v>
      </c>
      <c r="J8">
        <f>1*(INDEX(emprunts!$H$2:$H$149,MATCH($B8,emprunts!$A$2:$A$149,0))&gt;1)</f>
        <v>0</v>
      </c>
      <c r="K8" s="80">
        <f>SUMPRODUCT((annee=$I8)*(emprunts_annees!$A$123:$A$1367=$A8),emprunts_annees!$X$123:$X$1367)-SUMPRODUCT((De=$A8)*(année_refi=$I8)*Montant_transfere)</f>
        <v>0</v>
      </c>
      <c r="L8" s="80"/>
      <c r="O8" s="57">
        <f>IFERROR(0+(INDEX(emprunts!$Q$2:$Q$149,MATCH($B8,emprunts!$A$2:$A$149,0))="6F"),1)</f>
        <v>0</v>
      </c>
      <c r="P8" s="57">
        <f>IFERROR(0+(INDEX(emprunts!$Q$2:$Q$149,MATCH($A8,emprunts!$A$2:$A$149,0))="6F"),1)</f>
        <v>0</v>
      </c>
      <c r="Q8">
        <f t="shared" si="0"/>
        <v>0</v>
      </c>
      <c r="R8" s="5">
        <f>IF(W8="",INDEX(emprunts!$K$2:$K$149,MATCH($B8,emprunts!$A$2:$A$149,0)),W8)</f>
        <v>40505</v>
      </c>
    </row>
    <row r="9" spans="1:18">
      <c r="A9" s="1" t="s">
        <v>317</v>
      </c>
      <c r="B9" s="1" t="s">
        <v>364</v>
      </c>
      <c r="C9" s="57">
        <v>12014000</v>
      </c>
      <c r="D9" s="57">
        <v>2614000</v>
      </c>
      <c r="E9" s="57"/>
      <c r="F9" s="57">
        <f>SUMPRODUCT((emprunts!$A$2:$A$149=$B9)*emprunts!F$2:F$149)</f>
        <v>3500000</v>
      </c>
      <c r="G9" s="5">
        <f>IF(L9="",INDEX(emprunts!$M$2:$M$149,MATCH(B9,emprunts!$A$2:$A$149,0)),L9)</f>
        <v>41760</v>
      </c>
      <c r="H9" s="57">
        <f>IFERROR(1-(INDEX(emprunts!$Q$2:$Q$149,MATCH($A9,emprunts!$A$2:$A$149,0))="1A"),"")</f>
        <v>1</v>
      </c>
      <c r="I9">
        <f t="shared" si="1"/>
        <v>2014</v>
      </c>
      <c r="J9">
        <f>1*(INDEX(emprunts!$H$2:$H$149,MATCH($B9,emprunts!$A$2:$A$149,0))&gt;1)</f>
        <v>1</v>
      </c>
      <c r="K9" s="80">
        <f>SUMPRODUCT((annee=$I9)*(emprunts_annees!$A$123:$A$1367=$A9),emprunts_annees!$X$123:$X$1367)-SUMPRODUCT((De=$A9)*(année_refi=$I9)*Montant_transfere)</f>
        <v>0</v>
      </c>
      <c r="L9" s="80"/>
      <c r="O9" s="57">
        <f>IFERROR(0+(INDEX(emprunts!$Q$2:$Q$149,MATCH($B9,emprunts!$A$2:$A$149,0))="6F"),1)</f>
        <v>0</v>
      </c>
      <c r="P9" s="57">
        <f>IFERROR(0+(INDEX(emprunts!$Q$2:$Q$149,MATCH($A9,emprunts!$A$2:$A$149,0))="6F"),1)</f>
        <v>0</v>
      </c>
      <c r="Q9">
        <f t="shared" si="0"/>
        <v>0</v>
      </c>
      <c r="R9" s="5">
        <f>IF(W9="",INDEX(emprunts!$K$2:$K$149,MATCH($B9,emprunts!$A$2:$A$149,0)),W9)</f>
        <v>41704</v>
      </c>
    </row>
    <row r="10" spans="1:18">
      <c r="A10" s="1" t="s">
        <v>43</v>
      </c>
      <c r="B10" s="1" t="s">
        <v>187</v>
      </c>
      <c r="C10" s="57">
        <v>4286000</v>
      </c>
      <c r="E10" s="57"/>
      <c r="F10" s="57">
        <f>SUMPRODUCT((emprunts!$A$2:$A$149=$B10)*emprunts!F$2:F$149)</f>
        <v>0</v>
      </c>
      <c r="G10" s="5">
        <f>IF(L10="",INDEX(emprunts!$M$2:$M$149,MATCH(B10,emprunts!$A$2:$A$149,0)),L10)</f>
        <v>38534</v>
      </c>
      <c r="H10" s="57">
        <f>IFERROR(1-(INDEX(emprunts!$Q$2:$Q$149,MATCH($A10,emprunts!$A$2:$A$149,0))="1A"),"")</f>
        <v>1</v>
      </c>
      <c r="I10">
        <f t="shared" si="1"/>
        <v>2005</v>
      </c>
      <c r="J10">
        <f>1*(INDEX(emprunts!$H$2:$H$149,MATCH($B10,emprunts!$A$2:$A$149,0))&gt;1)</f>
        <v>0</v>
      </c>
      <c r="K10" s="80">
        <f>SUMPRODUCT((annee=$I10)*(emprunts_annees!$A$123:$A$1367=$A10),emprunts_annees!$X$123:$X$1367)-SUMPRODUCT((De=$A10)*(année_refi=$I10)*Montant_transfere)</f>
        <v>0</v>
      </c>
      <c r="L10" s="80"/>
      <c r="O10" s="57">
        <f>IFERROR(0+(INDEX(emprunts!$Q$2:$Q$149,MATCH($B10,emprunts!$A$2:$A$149,0))="6F"),1)</f>
        <v>0</v>
      </c>
      <c r="P10" s="57">
        <f>IFERROR(0+(INDEX(emprunts!$Q$2:$Q$149,MATCH($A10,emprunts!$A$2:$A$149,0))="6F"),1)</f>
        <v>0</v>
      </c>
      <c r="Q10">
        <f t="shared" si="0"/>
        <v>0</v>
      </c>
      <c r="R10" s="5">
        <f>IF(W10="",INDEX(emprunts!$K$2:$K$149,MATCH($B10,emprunts!$A$2:$A$149,0)),W10)</f>
        <v>38474</v>
      </c>
    </row>
    <row r="11" spans="1:18">
      <c r="A11" s="1" t="s">
        <v>38</v>
      </c>
      <c r="B11" s="1" t="s">
        <v>96</v>
      </c>
      <c r="C11" s="57">
        <v>12976000</v>
      </c>
      <c r="E11" s="57"/>
      <c r="F11" s="57">
        <f>SUMPRODUCT((emprunts!$A$2:$A$149=$B11)*emprunts!F$2:F$149)</f>
        <v>0</v>
      </c>
      <c r="G11" s="5">
        <f>IF(L11="",INDEX(emprunts!$M$2:$M$149,MATCH(B11,emprunts!$A$2:$A$149,0)),L11)</f>
        <v>38087</v>
      </c>
      <c r="H11" s="57">
        <f>IFERROR(1-(INDEX(emprunts!$Q$2:$Q$149,MATCH($A11,emprunts!$A$2:$A$149,0))="1A"),"")</f>
        <v>1</v>
      </c>
      <c r="I11">
        <f t="shared" si="1"/>
        <v>2004</v>
      </c>
      <c r="J11">
        <f>1*(INDEX(emprunts!$H$2:$H$149,MATCH($B11,emprunts!$A$2:$A$149,0))&gt;1)</f>
        <v>0</v>
      </c>
      <c r="K11" s="80">
        <f>SUMPRODUCT((annee=$I11)*(emprunts_annees!$A$123:$A$1367=$A11),emprunts_annees!$X$123:$X$1367)-SUMPRODUCT((De=$A11)*(année_refi=$I11)*Montant_transfere)</f>
        <v>0</v>
      </c>
      <c r="L11" s="80"/>
      <c r="O11" s="57">
        <f>IFERROR(0+(INDEX(emprunts!$Q$2:$Q$149,MATCH($B11,emprunts!$A$2:$A$149,0))="6F"),1)</f>
        <v>0</v>
      </c>
      <c r="P11" s="57">
        <f>IFERROR(0+(INDEX(emprunts!$Q$2:$Q$149,MATCH($A11,emprunts!$A$2:$A$149,0))="6F"),1)</f>
        <v>0</v>
      </c>
      <c r="Q11">
        <f t="shared" si="0"/>
        <v>0</v>
      </c>
      <c r="R11" s="5">
        <f>IF(W11="",INDEX(emprunts!$K$2:$K$149,MATCH($B11,emprunts!$A$2:$A$149,0)),W11)</f>
        <v>38062</v>
      </c>
    </row>
    <row r="12" spans="1:18">
      <c r="A12" s="1" t="s">
        <v>96</v>
      </c>
      <c r="B12" s="1" t="s">
        <v>187</v>
      </c>
      <c r="C12" s="57">
        <v>12676000</v>
      </c>
      <c r="E12" s="57"/>
      <c r="F12" s="57">
        <f>SUMPRODUCT((emprunts!$A$2:$A$149=$B12)*emprunts!F$2:F$149)</f>
        <v>0</v>
      </c>
      <c r="G12" s="5">
        <f>IF(L12="",INDEX(emprunts!$M$2:$M$149,MATCH(B12,emprunts!$A$2:$A$149,0)),L12)</f>
        <v>38534</v>
      </c>
      <c r="H12" s="57">
        <f>IFERROR(1-(INDEX(emprunts!$Q$2:$Q$149,MATCH($A12,emprunts!$A$2:$A$149,0))="1A"),"")</f>
        <v>1</v>
      </c>
      <c r="I12">
        <f t="shared" si="1"/>
        <v>2005</v>
      </c>
      <c r="J12">
        <f>1*(INDEX(emprunts!$H$2:$H$149,MATCH($B12,emprunts!$A$2:$A$149,0))&gt;1)</f>
        <v>0</v>
      </c>
      <c r="K12" s="80">
        <f>SUMPRODUCT((annee=$I12)*(emprunts_annees!$A$123:$A$1367=$A12),emprunts_annees!$X$123:$X$1367)-SUMPRODUCT((De=$A12)*(année_refi=$I12)*Montant_transfere)</f>
        <v>0</v>
      </c>
      <c r="L12" s="80"/>
      <c r="O12" s="57">
        <f>IFERROR(0+(INDEX(emprunts!$Q$2:$Q$149,MATCH($B12,emprunts!$A$2:$A$149,0))="6F"),1)</f>
        <v>0</v>
      </c>
      <c r="P12" s="57">
        <f>IFERROR(0+(INDEX(emprunts!$Q$2:$Q$149,MATCH($A12,emprunts!$A$2:$A$149,0))="6F"),1)</f>
        <v>0</v>
      </c>
      <c r="Q12">
        <f t="shared" si="0"/>
        <v>0</v>
      </c>
      <c r="R12" s="5">
        <f>IF(W12="",INDEX(emprunts!$K$2:$K$149,MATCH($B12,emprunts!$A$2:$A$149,0)),W12)</f>
        <v>38474</v>
      </c>
    </row>
    <row r="13" spans="1:18">
      <c r="A13" s="1" t="s">
        <v>187</v>
      </c>
      <c r="B13" s="1" t="s">
        <v>211</v>
      </c>
      <c r="C13" s="57">
        <v>16518000</v>
      </c>
      <c r="E13" s="57"/>
      <c r="F13" s="57">
        <f>SUMPRODUCT((emprunts!$A$2:$A$149=$B13)*emprunts!F$2:F$149)</f>
        <v>0</v>
      </c>
      <c r="G13" s="5">
        <f>IF(L13="",INDEX(emprunts!$M$2:$M$149,MATCH(B13,emprunts!$A$2:$A$149,0)),L13)</f>
        <v>38899</v>
      </c>
      <c r="H13" s="57">
        <f>IFERROR(1-(INDEX(emprunts!$Q$2:$Q$149,MATCH($A13,emprunts!$A$2:$A$149,0))="1A"),"")</f>
        <v>1</v>
      </c>
      <c r="I13">
        <f t="shared" si="1"/>
        <v>2006</v>
      </c>
      <c r="J13">
        <f>1*(INDEX(emprunts!$H$2:$H$149,MATCH($B13,emprunts!$A$2:$A$149,0))&gt;1)</f>
        <v>0</v>
      </c>
      <c r="K13" s="80">
        <f>SUMPRODUCT((annee=$I13)*(emprunts_annees!$A$123:$A$1367=$A13),emprunts_annees!$X$123:$X$1367)-SUMPRODUCT((De=$A13)*(année_refi=$I13)*Montant_transfere)</f>
        <v>0</v>
      </c>
      <c r="L13" s="80"/>
      <c r="O13" s="57">
        <f>IFERROR(0+(INDEX(emprunts!$Q$2:$Q$149,MATCH($B13,emprunts!$A$2:$A$149,0))="6F"),1)</f>
        <v>1</v>
      </c>
      <c r="P13" s="57">
        <f>IFERROR(0+(INDEX(emprunts!$Q$2:$Q$149,MATCH($A13,emprunts!$A$2:$A$149,0))="6F"),1)</f>
        <v>0</v>
      </c>
      <c r="Q13">
        <f t="shared" si="0"/>
        <v>0</v>
      </c>
      <c r="R13" s="5">
        <f>IF(W13="",INDEX(emprunts!$K$2:$K$149,MATCH($B13,emprunts!$A$2:$A$149,0)),W13)</f>
        <v>38840</v>
      </c>
    </row>
    <row r="14" spans="1:18">
      <c r="A14" s="1" t="s">
        <v>211</v>
      </c>
      <c r="B14" s="1" t="s">
        <v>487</v>
      </c>
      <c r="C14" s="57">
        <v>11892000</v>
      </c>
      <c r="E14" s="57"/>
      <c r="F14" s="57">
        <f>SUMPRODUCT((emprunts!$A$2:$A$149=$B14)*emprunts!F$2:F$149)</f>
        <v>0</v>
      </c>
      <c r="G14" s="5">
        <f>IF(L14="",INDEX(emprunts!$M$2:$M$149,MATCH(B14,emprunts!$A$2:$A$149,0)),L14)</f>
        <v>40737</v>
      </c>
      <c r="H14" s="57">
        <f>IFERROR(1-(INDEX(emprunts!$Q$2:$Q$149,MATCH($A14,emprunts!$A$2:$A$149,0))="1A"),"")</f>
        <v>1</v>
      </c>
      <c r="I14">
        <f t="shared" si="1"/>
        <v>2011</v>
      </c>
      <c r="J14">
        <f>1*(INDEX(emprunts!$H$2:$H$149,MATCH($B14,emprunts!$A$2:$A$149,0))&gt;1)</f>
        <v>0</v>
      </c>
      <c r="K14" s="80">
        <f>SUMPRODUCT((annee=$I14)*(emprunts_annees!$A$123:$A$1367=$A14),emprunts_annees!$X$123:$X$1367)-SUMPRODUCT((De=$A14)*(année_refi=$I14)*Montant_transfere)</f>
        <v>0</v>
      </c>
      <c r="L14" s="80"/>
      <c r="O14" s="57">
        <f>IFERROR(0+(INDEX(emprunts!$Q$2:$Q$149,MATCH($B14,emprunts!$A$2:$A$149,0))="6F"),1)</f>
        <v>1</v>
      </c>
      <c r="P14" s="57">
        <f>IFERROR(0+(INDEX(emprunts!$Q$2:$Q$149,MATCH($A14,emprunts!$A$2:$A$149,0))="6F"),1)</f>
        <v>1</v>
      </c>
      <c r="Q14">
        <f t="shared" si="0"/>
        <v>1</v>
      </c>
      <c r="R14" s="5">
        <f>IF(W14="",INDEX(emprunts!$K$2:$K$149,MATCH($B14,emprunts!$A$2:$A$149,0)),W14)</f>
        <v>40737</v>
      </c>
    </row>
    <row r="15" spans="1:18">
      <c r="A15" s="1" t="s">
        <v>289</v>
      </c>
      <c r="B15" s="1" t="s">
        <v>487</v>
      </c>
      <c r="C15" s="57">
        <v>2171000</v>
      </c>
      <c r="E15" s="57"/>
      <c r="F15" s="57">
        <f>SUMPRODUCT((emprunts!$A$2:$A$149=$B15)*emprunts!F$2:F$149)</f>
        <v>0</v>
      </c>
      <c r="G15" s="5">
        <f>IF(L15="",INDEX(emprunts!$M$2:$M$149,MATCH(B15,emprunts!$A$2:$A$149,0)),L15)</f>
        <v>40737</v>
      </c>
      <c r="H15" s="57">
        <f>IFERROR(1-(INDEX(emprunts!$Q$2:$Q$149,MATCH($A15,emprunts!$A$2:$A$149,0))="1A"),"")</f>
        <v>1</v>
      </c>
      <c r="I15">
        <f t="shared" si="1"/>
        <v>2011</v>
      </c>
      <c r="J15">
        <f>1*(INDEX(emprunts!$H$2:$H$149,MATCH($B15,emprunts!$A$2:$A$149,0))&gt;1)</f>
        <v>0</v>
      </c>
      <c r="K15" s="80">
        <f>SUMPRODUCT((annee=$I15)*(emprunts_annees!$A$123:$A$1367=$A15),emprunts_annees!$X$123:$X$1367)-SUMPRODUCT((De=$A15)*(année_refi=$I15)*Montant_transfere)</f>
        <v>0</v>
      </c>
      <c r="L15" s="80"/>
      <c r="O15" s="57">
        <f>IFERROR(0+(INDEX(emprunts!$Q$2:$Q$149,MATCH($B15,emprunts!$A$2:$A$149,0))="6F"),1)</f>
        <v>1</v>
      </c>
      <c r="P15" s="57">
        <f>IFERROR(0+(INDEX(emprunts!$Q$2:$Q$149,MATCH($A15,emprunts!$A$2:$A$149,0))="6F"),1)</f>
        <v>0</v>
      </c>
      <c r="Q15">
        <f t="shared" si="0"/>
        <v>0</v>
      </c>
      <c r="R15" s="5">
        <f>IF(W15="",INDEX(emprunts!$K$2:$K$149,MATCH($B15,emprunts!$A$2:$A$149,0)),W15)</f>
        <v>40737</v>
      </c>
    </row>
    <row r="16" spans="1:18">
      <c r="A16" s="1" t="s">
        <v>487</v>
      </c>
      <c r="B16" s="1" t="s">
        <v>488</v>
      </c>
      <c r="C16" s="57">
        <v>10462000</v>
      </c>
      <c r="D16" s="57">
        <v>3589000</v>
      </c>
      <c r="E16" s="57">
        <v>846000</v>
      </c>
      <c r="F16" s="57">
        <f>SUMPRODUCT((emprunts!$A$2:$A$149=$B16)*emprunts!F$2:F$149)</f>
        <v>3589000</v>
      </c>
      <c r="G16" s="5">
        <f>IF(L16="",INDEX(emprunts!$M$2:$M$149,MATCH(B16,emprunts!$A$2:$A$149,0)),L16)</f>
        <v>42644</v>
      </c>
      <c r="H16" s="57">
        <f>IFERROR(1-(INDEX(emprunts!$Q$2:$Q$149,MATCH($A16,emprunts!$A$2:$A$149,0))="1A"),"")</f>
        <v>1</v>
      </c>
      <c r="I16">
        <f t="shared" si="1"/>
        <v>2016</v>
      </c>
      <c r="J16">
        <f>1*(INDEX(emprunts!$H$2:$H$149,MATCH($B16,emprunts!$A$2:$A$149,0))&gt;1)</f>
        <v>1</v>
      </c>
      <c r="K16" s="80">
        <f>SUMPRODUCT((annee=$I16)*(emprunts_annees!$A$123:$A$1367=$A16),emprunts_annees!$X$123:$X$1367)-SUMPRODUCT((De=$A16)*(année_refi=$I16)*Montant_transfere)</f>
        <v>0</v>
      </c>
      <c r="L16" s="80"/>
      <c r="O16" s="57">
        <f>IFERROR(0+(INDEX(emprunts!$Q$2:$Q$149,MATCH($B16,emprunts!$A$2:$A$149,0))="6F"),1)</f>
        <v>0</v>
      </c>
      <c r="P16" s="57">
        <f>IFERROR(0+(INDEX(emprunts!$Q$2:$Q$149,MATCH($A16,emprunts!$A$2:$A$149,0))="6F"),1)</f>
        <v>1</v>
      </c>
      <c r="Q16">
        <f t="shared" si="0"/>
        <v>0</v>
      </c>
      <c r="R16" s="5">
        <f>IF(W16="",INDEX(emprunts!$K$2:$K$149,MATCH($B16,emprunts!$A$2:$A$149,0)),W16)</f>
        <v>42488</v>
      </c>
    </row>
    <row r="17" spans="1:18">
      <c r="A17" s="1" t="s">
        <v>211</v>
      </c>
      <c r="B17" s="1" t="s">
        <v>489</v>
      </c>
      <c r="C17" s="57">
        <v>2171000</v>
      </c>
      <c r="E17" s="57"/>
      <c r="F17" s="57">
        <f>SUMPRODUCT((emprunts!$A$2:$A$149=$B17)*emprunts!F$2:F$149)</f>
        <v>0</v>
      </c>
      <c r="G17" s="5">
        <f>IF(L17="",INDEX(emprunts!$M$2:$M$149,MATCH(B17,emprunts!$A$2:$A$149,0)),L17)</f>
        <v>40725</v>
      </c>
      <c r="H17" s="57">
        <f>IFERROR(1-(INDEX(emprunts!$Q$2:$Q$149,MATCH($A17,emprunts!$A$2:$A$149,0))="1A"),"")</f>
        <v>1</v>
      </c>
      <c r="I17">
        <f t="shared" si="1"/>
        <v>2011</v>
      </c>
      <c r="J17">
        <f>1*(INDEX(emprunts!$H$2:$H$149,MATCH($B17,emprunts!$A$2:$A$149,0))&gt;1)</f>
        <v>0</v>
      </c>
      <c r="K17" s="80">
        <f>SUMPRODUCT((annee=$I17)*(emprunts_annees!$A$123:$A$1367=$A17),emprunts_annees!$X$123:$X$1367)-SUMPRODUCT((De=$A17)*(année_refi=$I17)*Montant_transfere)</f>
        <v>0</v>
      </c>
      <c r="L17" s="80"/>
      <c r="O17" s="57">
        <f>IFERROR(0+(INDEX(emprunts!$Q$2:$Q$149,MATCH($B17,emprunts!$A$2:$A$149,0))="6F"),1)</f>
        <v>0</v>
      </c>
      <c r="P17" s="57">
        <f>IFERROR(0+(INDEX(emprunts!$Q$2:$Q$149,MATCH($A17,emprunts!$A$2:$A$149,0))="6F"),1)</f>
        <v>1</v>
      </c>
      <c r="Q17">
        <f t="shared" si="0"/>
        <v>0</v>
      </c>
      <c r="R17" s="5">
        <f>IF(W17="",INDEX(emprunts!$K$2:$K$149,MATCH($B17,emprunts!$A$2:$A$149,0)),W17)</f>
        <v>40737</v>
      </c>
    </row>
    <row r="18" spans="1:18">
      <c r="A18" s="1" t="s">
        <v>289</v>
      </c>
      <c r="B18" s="1" t="s">
        <v>489</v>
      </c>
      <c r="C18" s="57">
        <v>12377000</v>
      </c>
      <c r="E18" s="57"/>
      <c r="F18" s="57">
        <f>SUMPRODUCT((emprunts!$A$2:$A$149=$B18)*emprunts!F$2:F$149)</f>
        <v>0</v>
      </c>
      <c r="G18" s="5">
        <f>IF(L18="",INDEX(emprunts!$M$2:$M$149,MATCH(B18,emprunts!$A$2:$A$149,0)),L18)</f>
        <v>40725</v>
      </c>
      <c r="H18" s="57">
        <f>IFERROR(1-(INDEX(emprunts!$Q$2:$Q$149,MATCH($A18,emprunts!$A$2:$A$149,0))="1A"),"")</f>
        <v>1</v>
      </c>
      <c r="I18">
        <f t="shared" si="1"/>
        <v>2011</v>
      </c>
      <c r="J18">
        <f>1*(INDEX(emprunts!$H$2:$H$149,MATCH($B18,emprunts!$A$2:$A$149,0))&gt;1)</f>
        <v>0</v>
      </c>
      <c r="K18" s="80">
        <f>SUMPRODUCT((annee=$I18)*(emprunts_annees!$A$123:$A$1367=$A18),emprunts_annees!$X$123:$X$1367)-SUMPRODUCT((De=$A18)*(année_refi=$I18)*Montant_transfere)</f>
        <v>0</v>
      </c>
      <c r="L18" s="80"/>
      <c r="O18" s="57">
        <f>IFERROR(0+(INDEX(emprunts!$Q$2:$Q$149,MATCH($B18,emprunts!$A$2:$A$149,0))="6F"),1)</f>
        <v>0</v>
      </c>
      <c r="P18" s="57">
        <f>IFERROR(0+(INDEX(emprunts!$Q$2:$Q$149,MATCH($A18,emprunts!$A$2:$A$149,0))="6F"),1)</f>
        <v>0</v>
      </c>
      <c r="Q18">
        <f t="shared" si="0"/>
        <v>0</v>
      </c>
      <c r="R18" s="5">
        <f>IF(W18="",INDEX(emprunts!$K$2:$K$149,MATCH($B18,emprunts!$A$2:$A$149,0)),W18)</f>
        <v>40737</v>
      </c>
    </row>
    <row r="19" spans="1:18">
      <c r="A19" s="1" t="s">
        <v>195</v>
      </c>
      <c r="B19" s="1" t="s">
        <v>227</v>
      </c>
      <c r="C19" s="57">
        <v>9754000</v>
      </c>
      <c r="E19" s="57"/>
      <c r="F19" s="57">
        <f>SUMPRODUCT((emprunts!$A$2:$A$149=$B19)*emprunts!F$2:F$149)</f>
        <v>0</v>
      </c>
      <c r="G19" s="5">
        <f>IF(L19="",INDEX(emprunts!$M$2:$M$149,MATCH(B19,emprunts!$A$2:$A$149,0)),L19)</f>
        <v>39203</v>
      </c>
      <c r="H19" s="57">
        <f>IFERROR(1-(INDEX(emprunts!$Q$2:$Q$149,MATCH($A19,emprunts!$A$2:$A$149,0))="1A"),"")</f>
        <v>1</v>
      </c>
      <c r="I19">
        <f t="shared" si="1"/>
        <v>2007</v>
      </c>
      <c r="J19">
        <f>1*(INDEX(emprunts!$H$2:$H$149,MATCH($B19,emprunts!$A$2:$A$149,0))&gt;1)</f>
        <v>0</v>
      </c>
      <c r="K19" s="80">
        <f>SUMPRODUCT((annee=$I19)*(emprunts_annees!$A$123:$A$1367=$A19),emprunts_annees!$X$123:$X$1367)-SUMPRODUCT((De=$A19)*(année_refi=$I19)*Montant_transfere)</f>
        <v>0</v>
      </c>
      <c r="L19" s="80"/>
      <c r="O19" s="57">
        <f>IFERROR(0+(INDEX(emprunts!$Q$2:$Q$149,MATCH($B19,emprunts!$A$2:$A$149,0))="6F"),1)</f>
        <v>0</v>
      </c>
      <c r="P19" s="57">
        <f>IFERROR(0+(INDEX(emprunts!$Q$2:$Q$149,MATCH($A19,emprunts!$A$2:$A$149,0))="6F"),1)</f>
        <v>0</v>
      </c>
      <c r="Q19">
        <f t="shared" si="0"/>
        <v>0</v>
      </c>
      <c r="R19" s="5">
        <f>IF(W19="",INDEX(emprunts!$K$2:$K$149,MATCH($B19,emprunts!$A$2:$A$149,0)),W19)</f>
        <v>39190</v>
      </c>
    </row>
    <row r="20" spans="1:18">
      <c r="A20" s="1" t="s">
        <v>101</v>
      </c>
      <c r="B20" s="1" t="s">
        <v>227</v>
      </c>
      <c r="C20" s="57">
        <v>7237000</v>
      </c>
      <c r="E20" s="57"/>
      <c r="F20" s="57">
        <f>SUMPRODUCT((emprunts!$A$2:$A$149=$B20)*emprunts!F$2:F$149)</f>
        <v>0</v>
      </c>
      <c r="G20" s="5">
        <f>IF(L20="",INDEX(emprunts!$M$2:$M$149,MATCH(B20,emprunts!$A$2:$A$149,0)),L20)</f>
        <v>39203</v>
      </c>
      <c r="H20" s="57">
        <f>IFERROR(1-(INDEX(emprunts!$Q$2:$Q$149,MATCH($A20,emprunts!$A$2:$A$149,0))="1A"),"")</f>
        <v>1</v>
      </c>
      <c r="I20">
        <f t="shared" si="1"/>
        <v>2007</v>
      </c>
      <c r="J20">
        <f>1*(INDEX(emprunts!$H$2:$H$149,MATCH($B20,emprunts!$A$2:$A$149,0))&gt;1)</f>
        <v>0</v>
      </c>
      <c r="K20" s="80">
        <f>SUMPRODUCT((annee=$I20)*(emprunts_annees!$A$123:$A$1367=$A20),emprunts_annees!$X$123:$X$1367)-SUMPRODUCT((De=$A20)*(année_refi=$I20)*Montant_transfere)</f>
        <v>0</v>
      </c>
      <c r="L20" s="80"/>
      <c r="O20" s="57">
        <f>IFERROR(0+(INDEX(emprunts!$Q$2:$Q$149,MATCH($B20,emprunts!$A$2:$A$149,0))="6F"),1)</f>
        <v>0</v>
      </c>
      <c r="P20" s="57">
        <f>IFERROR(0+(INDEX(emprunts!$Q$2:$Q$149,MATCH($A20,emprunts!$A$2:$A$149,0))="6F"),1)</f>
        <v>0</v>
      </c>
      <c r="Q20">
        <f t="shared" si="0"/>
        <v>0</v>
      </c>
      <c r="R20" s="5">
        <f>IF(W20="",INDEX(emprunts!$K$2:$K$149,MATCH($B20,emprunts!$A$2:$A$149,0)),W20)</f>
        <v>39190</v>
      </c>
    </row>
    <row r="21" spans="1:18">
      <c r="A21" s="1" t="s">
        <v>227</v>
      </c>
      <c r="B21" s="1" t="s">
        <v>253</v>
      </c>
      <c r="C21" s="57">
        <v>9500000</v>
      </c>
      <c r="E21" s="57"/>
      <c r="F21" s="57">
        <f>SUMPRODUCT((emprunts!$A$2:$A$149=$B21)*emprunts!F$2:F$149)</f>
        <v>0</v>
      </c>
      <c r="G21" s="5">
        <f>IF(L21="",INDEX(emprunts!$M$2:$M$149,MATCH(B21,emprunts!$A$2:$A$149,0)),L21)</f>
        <v>40176</v>
      </c>
      <c r="H21" s="57">
        <f>IFERROR(1-(INDEX(emprunts!$Q$2:$Q$149,MATCH($A21,emprunts!$A$2:$A$149,0))="1A"),"")</f>
        <v>1</v>
      </c>
      <c r="I21">
        <f t="shared" si="1"/>
        <v>2009</v>
      </c>
      <c r="J21">
        <f>1*(INDEX(emprunts!$H$2:$H$149,MATCH($B21,emprunts!$A$2:$A$149,0))&gt;1)</f>
        <v>0</v>
      </c>
      <c r="K21" s="80">
        <f>SUMPRODUCT((annee=$I21)*(emprunts_annees!$A$123:$A$1367=$A21),emprunts_annees!$X$123:$X$1367)-SUMPRODUCT((De=$A21)*(année_refi=$I21)*Montant_transfere)</f>
        <v>0</v>
      </c>
      <c r="L21" s="80"/>
      <c r="N21" s="5"/>
      <c r="O21" s="57">
        <f>IFERROR(0+(INDEX(emprunts!$Q$2:$Q$149,MATCH($B21,emprunts!$A$2:$A$149,0))="6F"),1)</f>
        <v>0</v>
      </c>
      <c r="P21" s="57">
        <f>IFERROR(0+(INDEX(emprunts!$Q$2:$Q$149,MATCH($A21,emprunts!$A$2:$A$149,0))="6F"),1)</f>
        <v>0</v>
      </c>
      <c r="Q21">
        <f t="shared" si="0"/>
        <v>0</v>
      </c>
      <c r="R21" s="5">
        <f>IF(W21="",INDEX(emprunts!$K$2:$K$149,MATCH($B21,emprunts!$A$2:$A$149,0)),W21)</f>
        <v>39681</v>
      </c>
    </row>
    <row r="22" spans="1:18">
      <c r="A22" s="1" t="s">
        <v>253</v>
      </c>
      <c r="B22" s="1" t="s">
        <v>289</v>
      </c>
      <c r="C22" s="57">
        <v>15029000</v>
      </c>
      <c r="E22" s="57"/>
      <c r="F22" s="57">
        <f>SUMPRODUCT((emprunts!$A$2:$A$149=$B22)*emprunts!F$2:F$149)</f>
        <v>0</v>
      </c>
      <c r="G22" s="5">
        <f>IF(L22="",INDEX(emprunts!$M$2:$M$149,MATCH(B22,emprunts!$A$2:$A$149,0)),L22)</f>
        <v>40299</v>
      </c>
      <c r="H22" s="57">
        <f>IFERROR(1-(INDEX(emprunts!$Q$2:$Q$149,MATCH($A22,emprunts!$A$2:$A$149,0))="1A"),"")</f>
        <v>1</v>
      </c>
      <c r="I22">
        <f t="shared" si="1"/>
        <v>2010</v>
      </c>
      <c r="J22">
        <f>1*(INDEX(emprunts!$H$2:$H$149,MATCH($B22,emprunts!$A$2:$A$149,0))&gt;1)</f>
        <v>0</v>
      </c>
      <c r="K22" s="80">
        <f>SUMPRODUCT((annee=$I22)*(emprunts_annees!$A$123:$A$1367=$A22),emprunts_annees!$X$123:$X$1367)-SUMPRODUCT((De=$A22)*(année_refi=$I22)*Montant_transfere)</f>
        <v>0</v>
      </c>
      <c r="L22" s="80"/>
      <c r="O22" s="57">
        <f>IFERROR(0+(INDEX(emprunts!$Q$2:$Q$149,MATCH($B22,emprunts!$A$2:$A$149,0))="6F"),1)</f>
        <v>0</v>
      </c>
      <c r="P22" s="57">
        <f>IFERROR(0+(INDEX(emprunts!$Q$2:$Q$149,MATCH($A22,emprunts!$A$2:$A$149,0))="6F"),1)</f>
        <v>0</v>
      </c>
      <c r="Q22">
        <f t="shared" si="0"/>
        <v>0</v>
      </c>
      <c r="R22" s="5">
        <f>IF(W22="",INDEX(emprunts!$K$2:$K$149,MATCH($B22,emprunts!$A$2:$A$149,0)),W22)</f>
        <v>40231</v>
      </c>
    </row>
    <row r="23" spans="1:18">
      <c r="A23" s="1" t="s">
        <v>121</v>
      </c>
      <c r="B23" s="1" t="s">
        <v>231</v>
      </c>
      <c r="C23" s="57">
        <v>7629000</v>
      </c>
      <c r="E23" s="57"/>
      <c r="F23" s="57">
        <f>SUMPRODUCT((emprunts!$A$2:$A$149=$B23)*emprunts!F$2:F$149)</f>
        <v>0</v>
      </c>
      <c r="G23" s="5">
        <f>IF(L23="",INDEX(emprunts!$M$2:$M$149,MATCH(B23,emprunts!$A$2:$A$149,0)),L23)</f>
        <v>39203</v>
      </c>
      <c r="H23" s="57">
        <f>IFERROR(1-(INDEX(emprunts!$Q$2:$Q$149,MATCH($A23,emprunts!$A$2:$A$149,0))="1A"),"")</f>
        <v>1</v>
      </c>
      <c r="I23">
        <f t="shared" si="1"/>
        <v>2007</v>
      </c>
      <c r="J23">
        <f>1*(INDEX(emprunts!$H$2:$H$149,MATCH($B23,emprunts!$A$2:$A$149,0))&gt;1)</f>
        <v>0</v>
      </c>
      <c r="K23" s="80">
        <f>SUMPRODUCT((annee=$I23)*(emprunts_annees!$A$123:$A$1367=$A23),emprunts_annees!$X$123:$X$1367)-SUMPRODUCT((De=$A23)*(année_refi=$I23)*Montant_transfere)</f>
        <v>0</v>
      </c>
      <c r="L23" s="80"/>
      <c r="O23" s="57">
        <f>IFERROR(0+(INDEX(emprunts!$Q$2:$Q$149,MATCH($B23,emprunts!$A$2:$A$149,0))="6F"),1)</f>
        <v>0</v>
      </c>
      <c r="P23" s="57">
        <f>IFERROR(0+(INDEX(emprunts!$Q$2:$Q$149,MATCH($A23,emprunts!$A$2:$A$149,0))="6F"),1)</f>
        <v>0</v>
      </c>
      <c r="Q23">
        <f t="shared" si="0"/>
        <v>0</v>
      </c>
      <c r="R23" s="5">
        <f>IF(W23="",INDEX(emprunts!$K$2:$K$149,MATCH($B23,emprunts!$A$2:$A$149,0)),W23)</f>
        <v>39190</v>
      </c>
    </row>
    <row r="24" spans="1:18">
      <c r="A24" s="1" t="s">
        <v>231</v>
      </c>
      <c r="B24" s="1" t="s">
        <v>253</v>
      </c>
      <c r="C24" s="57">
        <v>5039000</v>
      </c>
      <c r="E24" s="57"/>
      <c r="F24" s="57">
        <f>SUMPRODUCT((emprunts!$A$2:$A$149=$B24)*emprunts!F$2:F$149)</f>
        <v>0</v>
      </c>
      <c r="G24" s="5">
        <f>IF(L24="",INDEX(emprunts!$M$2:$M$149,MATCH(B24,emprunts!$A$2:$A$149,0)),L24)</f>
        <v>40176</v>
      </c>
      <c r="H24" s="57">
        <f>IFERROR(1-(INDEX(emprunts!$Q$2:$Q$149,MATCH($A24,emprunts!$A$2:$A$149,0))="1A"),"")</f>
        <v>1</v>
      </c>
      <c r="I24">
        <f t="shared" si="1"/>
        <v>2009</v>
      </c>
      <c r="J24">
        <f>1*(INDEX(emprunts!$H$2:$H$149,MATCH($B24,emprunts!$A$2:$A$149,0))&gt;1)</f>
        <v>0</v>
      </c>
      <c r="K24" s="80">
        <f>SUMPRODUCT((annee=$I24)*(emprunts_annees!$A$123:$A$1367=$A24),emprunts_annees!$X$123:$X$1367)-SUMPRODUCT((De=$A24)*(année_refi=$I24)*Montant_transfere)</f>
        <v>0</v>
      </c>
      <c r="L24" s="80"/>
      <c r="O24" s="57">
        <f>IFERROR(0+(INDEX(emprunts!$Q$2:$Q$149,MATCH($B24,emprunts!$A$2:$A$149,0))="6F"),1)</f>
        <v>0</v>
      </c>
      <c r="P24" s="57">
        <f>IFERROR(0+(INDEX(emprunts!$Q$2:$Q$149,MATCH($A24,emprunts!$A$2:$A$149,0))="6F"),1)</f>
        <v>0</v>
      </c>
      <c r="Q24">
        <f t="shared" si="0"/>
        <v>0</v>
      </c>
      <c r="R24" s="5">
        <f>IF(W24="",INDEX(emprunts!$K$2:$K$149,MATCH($B24,emprunts!$A$2:$A$149,0)),W24)</f>
        <v>39681</v>
      </c>
    </row>
    <row r="25" spans="1:18">
      <c r="A25" s="1" t="s">
        <v>227</v>
      </c>
      <c r="B25" s="1" t="s">
        <v>251</v>
      </c>
      <c r="C25" s="57">
        <v>6230000</v>
      </c>
      <c r="E25" s="57"/>
      <c r="F25" s="57">
        <f>SUMPRODUCT((emprunts!$A$2:$A$149=$B25)*emprunts!F$2:F$149)</f>
        <v>0</v>
      </c>
      <c r="G25" s="5">
        <f>IF(L25="",INDEX(emprunts!$M$2:$M$149,MATCH(B25,emprunts!$A$2:$A$149,0)),L25)</f>
        <v>40148</v>
      </c>
      <c r="H25" s="57">
        <f>IFERROR(1-(INDEX(emprunts!$Q$2:$Q$149,MATCH($A25,emprunts!$A$2:$A$149,0))="1A"),"")</f>
        <v>1</v>
      </c>
      <c r="I25">
        <f t="shared" si="1"/>
        <v>2009</v>
      </c>
      <c r="J25">
        <f>1*(INDEX(emprunts!$H$2:$H$149,MATCH($B25,emprunts!$A$2:$A$149,0))&gt;1)</f>
        <v>0</v>
      </c>
      <c r="K25" s="80">
        <f>SUMPRODUCT((annee=$I25)*(emprunts_annees!$A$123:$A$1367=$A25),emprunts_annees!$X$123:$X$1367)-SUMPRODUCT((De=$A25)*(année_refi=$I25)*Montant_transfere)</f>
        <v>0</v>
      </c>
      <c r="L25" s="80"/>
      <c r="O25" s="57">
        <f>IFERROR(0+(INDEX(emprunts!$Q$2:$Q$149,MATCH($B25,emprunts!$A$2:$A$149,0))="6F"),1)</f>
        <v>1</v>
      </c>
      <c r="P25" s="57">
        <f>IFERROR(0+(INDEX(emprunts!$Q$2:$Q$149,MATCH($A25,emprunts!$A$2:$A$149,0))="6F"),1)</f>
        <v>0</v>
      </c>
      <c r="Q25">
        <f t="shared" si="0"/>
        <v>0</v>
      </c>
      <c r="R25" s="5">
        <f>IF(W25="",INDEX(emprunts!$K$2:$K$149,MATCH($B25,emprunts!$A$2:$A$149,0)),W25)</f>
        <v>39681</v>
      </c>
    </row>
    <row r="26" spans="1:18">
      <c r="A26" s="1" t="s">
        <v>251</v>
      </c>
      <c r="B26" s="1" t="s">
        <v>490</v>
      </c>
      <c r="C26" s="57">
        <v>14098000</v>
      </c>
      <c r="E26" s="57"/>
      <c r="F26" s="57">
        <f>SUMPRODUCT((emprunts!$A$2:$A$149=$B26)*emprunts!F$2:F$149)</f>
        <v>0</v>
      </c>
      <c r="G26" s="5">
        <f>IF(L26="",INDEX(emprunts!$M$2:$M$149,MATCH(B26,emprunts!$A$2:$A$149,0)),L26)</f>
        <v>41030</v>
      </c>
      <c r="H26" s="57">
        <f>IFERROR(1-(INDEX(emprunts!$Q$2:$Q$149,MATCH($A26,emprunts!$A$2:$A$149,0))="1A"),"")</f>
        <v>1</v>
      </c>
      <c r="I26">
        <f t="shared" si="1"/>
        <v>2012</v>
      </c>
      <c r="J26">
        <f>1*(INDEX(emprunts!$H$2:$H$149,MATCH($B26,emprunts!$A$2:$A$149,0))&gt;1)</f>
        <v>0</v>
      </c>
      <c r="K26" s="80">
        <f>SUMPRODUCT((annee=$I26)*(emprunts_annees!$A$123:$A$1367=$A26),emprunts_annees!$X$123:$X$1367)-SUMPRODUCT((De=$A26)*(année_refi=$I26)*Montant_transfere)</f>
        <v>0</v>
      </c>
      <c r="L26" s="80"/>
      <c r="O26" s="57">
        <f>IFERROR(0+(INDEX(emprunts!$Q$2:$Q$149,MATCH($B26,emprunts!$A$2:$A$149,0))="6F"),1)</f>
        <v>1</v>
      </c>
      <c r="P26" s="57">
        <f>IFERROR(0+(INDEX(emprunts!$Q$2:$Q$149,MATCH($A26,emprunts!$A$2:$A$149,0))="6F"),1)</f>
        <v>1</v>
      </c>
      <c r="Q26">
        <f t="shared" si="0"/>
        <v>1</v>
      </c>
      <c r="R26" s="5">
        <f>IF(W26="",INDEX(emprunts!$K$2:$K$149,MATCH($B26,emprunts!$A$2:$A$149,0)),W26)</f>
        <v>41065</v>
      </c>
    </row>
    <row r="27" spans="1:18">
      <c r="A27" s="1" t="s">
        <v>490</v>
      </c>
      <c r="B27" s="1" t="s">
        <v>364</v>
      </c>
      <c r="C27" s="57">
        <v>7000000</v>
      </c>
      <c r="D27" s="57">
        <v>886000</v>
      </c>
      <c r="E27" s="57"/>
      <c r="F27" s="57">
        <f>SUMPRODUCT((emprunts!$A$2:$A$149=$B27)*emprunts!F$2:F$149)</f>
        <v>3500000</v>
      </c>
      <c r="G27" s="5">
        <f>IF(L27="",INDEX(emprunts!$M$2:$M$149,MATCH(B27,emprunts!$A$2:$A$149,0)),L27)</f>
        <v>41760</v>
      </c>
      <c r="H27" s="57">
        <f>IFERROR(1-(INDEX(emprunts!$Q$2:$Q$149,MATCH($A27,emprunts!$A$2:$A$149,0))="1A"),"")</f>
        <v>1</v>
      </c>
      <c r="I27">
        <f t="shared" si="1"/>
        <v>2014</v>
      </c>
      <c r="J27">
        <f>1*(INDEX(emprunts!$H$2:$H$149,MATCH($B27,emprunts!$A$2:$A$149,0))&gt;1)</f>
        <v>1</v>
      </c>
      <c r="K27" s="80">
        <f>SUMPRODUCT((annee=$I27)*(emprunts_annees!$A$123:$A$1367=$A27),emprunts_annees!$X$123:$X$1367)-SUMPRODUCT((De=$A27)*(année_refi=$I27)*Montant_transfere)</f>
        <v>0</v>
      </c>
      <c r="L27" s="80"/>
      <c r="O27" s="57">
        <f>IFERROR(0+(INDEX(emprunts!$Q$2:$Q$149,MATCH($B27,emprunts!$A$2:$A$149,0))="6F"),1)</f>
        <v>0</v>
      </c>
      <c r="P27" s="57">
        <f>IFERROR(0+(INDEX(emprunts!$Q$2:$Q$149,MATCH($A27,emprunts!$A$2:$A$149,0))="6F"),1)</f>
        <v>1</v>
      </c>
      <c r="Q27">
        <f t="shared" si="0"/>
        <v>0</v>
      </c>
      <c r="R27" s="5">
        <f>IF(W27="",INDEX(emprunts!$K$2:$K$149,MATCH($B27,emprunts!$A$2:$A$149,0)),W27)</f>
        <v>41704</v>
      </c>
    </row>
    <row r="28" spans="1:18">
      <c r="A28" s="1" t="s">
        <v>490</v>
      </c>
      <c r="B28" s="1" t="s">
        <v>525</v>
      </c>
      <c r="C28" s="57">
        <v>5911000</v>
      </c>
      <c r="D28" s="57">
        <v>6850000</v>
      </c>
      <c r="E28" s="57"/>
      <c r="F28" s="57">
        <f>SUMPRODUCT((emprunts!$A$2:$A$149=$B28)*emprunts!F$2:F$149)</f>
        <v>6850000</v>
      </c>
      <c r="G28" s="5">
        <f>IF(L28="",INDEX(emprunts!$M$2:$M$149,MATCH(B28,emprunts!$A$2:$A$149,0)),L28)</f>
        <v>42125</v>
      </c>
      <c r="H28" s="57">
        <f>IFERROR(1-(INDEX(emprunts!$Q$2:$Q$149,MATCH($A28,emprunts!$A$2:$A$149,0))="1A"),"")</f>
        <v>1</v>
      </c>
      <c r="I28">
        <f t="shared" si="1"/>
        <v>2015</v>
      </c>
      <c r="J28">
        <f>1*(INDEX(emprunts!$H$2:$H$149,MATCH($B28,emprunts!$A$2:$A$149,0))&gt;1)</f>
        <v>1</v>
      </c>
      <c r="K28" s="80">
        <f>SUMPRODUCT((annee=$I28)*(emprunts_annees!$A$123:$A$1367=$A28),emprunts_annees!$X$123:$X$1367)-SUMPRODUCT((De=$A28)*(année_refi=$I28)*Montant_transfere)</f>
        <v>0</v>
      </c>
      <c r="L28" s="80"/>
      <c r="O28" s="57">
        <f>IFERROR(0+(INDEX(emprunts!$Q$2:$Q$149,MATCH($B28,emprunts!$A$2:$A$149,0))="6F"),1)</f>
        <v>0</v>
      </c>
      <c r="P28" s="57">
        <f>IFERROR(0+(INDEX(emprunts!$Q$2:$Q$149,MATCH($A28,emprunts!$A$2:$A$149,0))="6F"),1)</f>
        <v>1</v>
      </c>
      <c r="Q28">
        <f t="shared" si="0"/>
        <v>0</v>
      </c>
      <c r="R28" s="5">
        <f>IF(W28="",INDEX(emprunts!$K$2:$K$149,MATCH($B28,emprunts!$A$2:$A$149,0)),W28)</f>
        <v>42118</v>
      </c>
    </row>
    <row r="29" spans="1:18">
      <c r="A29" s="1" t="s">
        <v>117</v>
      </c>
      <c r="B29" s="1" t="s">
        <v>222</v>
      </c>
      <c r="C29" s="57">
        <v>9658000</v>
      </c>
      <c r="E29" s="57"/>
      <c r="F29" s="57">
        <f>SUMPRODUCT((emprunts!$A$2:$A$149=$B29)*emprunts!F$2:F$149)</f>
        <v>0</v>
      </c>
      <c r="G29" s="5">
        <f>IF(L29="",INDEX(emprunts!$M$2:$M$149,MATCH(B29,emprunts!$A$2:$A$149,0)),L29)</f>
        <v>39114</v>
      </c>
      <c r="H29" s="57">
        <f>IFERROR(1-(INDEX(emprunts!$Q$2:$Q$149,MATCH($A29,emprunts!$A$2:$A$149,0))="1A"),"")</f>
        <v>1</v>
      </c>
      <c r="I29">
        <f t="shared" si="1"/>
        <v>2007</v>
      </c>
      <c r="J29">
        <f>1*(INDEX(emprunts!$H$2:$H$149,MATCH($B29,emprunts!$A$2:$A$149,0))&gt;1)</f>
        <v>0</v>
      </c>
      <c r="K29" s="80">
        <f>SUMPRODUCT((annee=$I29)*(emprunts_annees!$A$123:$A$1367=$A29),emprunts_annees!$X$123:$X$1367)-SUMPRODUCT((De=$A29)*(année_refi=$I29)*Montant_transfere)</f>
        <v>0</v>
      </c>
      <c r="L29" s="80"/>
      <c r="O29" s="57">
        <f>IFERROR(0+(INDEX(emprunts!$Q$2:$Q$149,MATCH($B29,emprunts!$A$2:$A$149,0))="6F"),1)</f>
        <v>1</v>
      </c>
      <c r="P29" s="57">
        <f>IFERROR(0+(INDEX(emprunts!$Q$2:$Q$149,MATCH($A29,emprunts!$A$2:$A$149,0))="6F"),1)</f>
        <v>0</v>
      </c>
      <c r="Q29">
        <f t="shared" si="0"/>
        <v>0</v>
      </c>
      <c r="R29" s="5">
        <f>IF(W29="",INDEX(emprunts!$K$2:$K$149,MATCH($B29,emprunts!$A$2:$A$149,0)),W29)</f>
        <v>39108</v>
      </c>
    </row>
    <row r="30" spans="1:18">
      <c r="A30" s="1" t="s">
        <v>47</v>
      </c>
      <c r="B30" s="1" t="s">
        <v>105</v>
      </c>
      <c r="C30" s="57">
        <v>8696000</v>
      </c>
      <c r="D30" s="57">
        <v>830000</v>
      </c>
      <c r="F30" s="57">
        <f>SUMPRODUCT((emprunts!$A$2:$A$149=$B30)*emprunts!F$2:F$149)</f>
        <v>830000</v>
      </c>
      <c r="G30" s="5">
        <f>IF(L30="",INDEX(emprunts!$M$2:$M$149,MATCH(B30,emprunts!$A$2:$A$149,0)),L30)</f>
        <v>38153</v>
      </c>
      <c r="H30" s="57">
        <f>IFERROR(1-(INDEX(emprunts!$Q$2:$Q$149,MATCH($A30,emprunts!$A$2:$A$149,0))="1A"),"")</f>
        <v>1</v>
      </c>
      <c r="I30">
        <f t="shared" si="1"/>
        <v>2004</v>
      </c>
      <c r="J30">
        <f>1*(INDEX(emprunts!$H$2:$H$149,MATCH($B30,emprunts!$A$2:$A$149,0))&gt;1)</f>
        <v>0</v>
      </c>
      <c r="K30" s="80">
        <f>SUMPRODUCT((annee=$I30)*(emprunts_annees!$A$123:$A$1367=$A30),emprunts_annees!$X$123:$X$1367)-SUMPRODUCT((De=$A30)*(année_refi=$I30)*Montant_transfere)</f>
        <v>0</v>
      </c>
      <c r="L30" s="80"/>
      <c r="O30" s="57">
        <f>IFERROR(0+(INDEX(emprunts!$Q$2:$Q$149,MATCH($B30,emprunts!$A$2:$A$149,0))="6F"),1)</f>
        <v>1</v>
      </c>
      <c r="P30" s="57">
        <f>IFERROR(0+(INDEX(emprunts!$Q$2:$Q$149,MATCH($A30,emprunts!$A$2:$A$149,0))="6F"),1)</f>
        <v>1</v>
      </c>
      <c r="Q30">
        <f t="shared" si="0"/>
        <v>1</v>
      </c>
      <c r="R30" s="5">
        <f>IF(W30="",INDEX(emprunts!$K$2:$K$149,MATCH($B30,emprunts!$A$2:$A$149,0)),W30)</f>
        <v>38121</v>
      </c>
    </row>
    <row r="31" spans="1:18">
      <c r="A31" s="1" t="s">
        <v>105</v>
      </c>
      <c r="B31" s="1" t="s">
        <v>114</v>
      </c>
      <c r="C31" s="57">
        <v>5000000</v>
      </c>
      <c r="F31" s="57">
        <f>SUMPRODUCT((emprunts!$A$2:$A$149=$B31)*emprunts!F$2:F$149)</f>
        <v>0</v>
      </c>
      <c r="G31" s="5">
        <f>IF(L31="",INDEX(emprunts!$M$2:$M$149,MATCH(B31,emprunts!$A$2:$A$149,0)),L31)</f>
        <v>38384</v>
      </c>
      <c r="H31" s="57">
        <f>IFERROR(1-(INDEX(emprunts!$Q$2:$Q$149,MATCH($A31,emprunts!$A$2:$A$149,0))="1A"),"")</f>
        <v>1</v>
      </c>
      <c r="I31">
        <f t="shared" si="1"/>
        <v>2005</v>
      </c>
      <c r="J31">
        <f>1*(INDEX(emprunts!$H$2:$H$149,MATCH($B31,emprunts!$A$2:$A$149,0))&gt;1)</f>
        <v>0</v>
      </c>
      <c r="K31" s="80">
        <f>SUMPRODUCT((annee=$I31)*(emprunts_annees!$A$123:$A$1367=$A31),emprunts_annees!$X$123:$X$1367)-SUMPRODUCT((De=$A31)*(année_refi=$I31)*Montant_transfere)</f>
        <v>0</v>
      </c>
      <c r="L31" s="80"/>
      <c r="O31" s="57">
        <f>IFERROR(0+(INDEX(emprunts!$Q$2:$Q$149,MATCH($B31,emprunts!$A$2:$A$149,0))="6F"),1)</f>
        <v>1</v>
      </c>
      <c r="P31" s="57">
        <f>IFERROR(0+(INDEX(emprunts!$Q$2:$Q$149,MATCH($A31,emprunts!$A$2:$A$149,0))="6F"),1)</f>
        <v>1</v>
      </c>
      <c r="Q31">
        <f t="shared" si="0"/>
        <v>1</v>
      </c>
      <c r="R31" s="5">
        <f>IF(W31="",INDEX(emprunts!$K$2:$K$149,MATCH($B31,emprunts!$A$2:$A$149,0)),W31)</f>
        <v>38334</v>
      </c>
    </row>
    <row r="32" spans="1:18">
      <c r="A32" s="1" t="s">
        <v>180</v>
      </c>
      <c r="B32" s="1" t="s">
        <v>231</v>
      </c>
      <c r="C32" s="57">
        <v>6787000</v>
      </c>
      <c r="F32" s="57">
        <f>SUMPRODUCT((emprunts!$A$2:$A$149=$B32)*emprunts!F$2:F$149)</f>
        <v>0</v>
      </c>
      <c r="G32" s="5">
        <f>IF(L32="",INDEX(emprunts!$M$2:$M$149,MATCH(B32,emprunts!$A$2:$A$149,0)),L32)</f>
        <v>39203</v>
      </c>
      <c r="H32" s="57">
        <f>IFERROR(1-(INDEX(emprunts!$Q$2:$Q$149,MATCH($A32,emprunts!$A$2:$A$149,0))="1A"),"")</f>
        <v>1</v>
      </c>
      <c r="I32">
        <f t="shared" si="1"/>
        <v>2007</v>
      </c>
      <c r="J32">
        <f>1*(INDEX(emprunts!$H$2:$H$149,MATCH($B32,emprunts!$A$2:$A$149,0))&gt;1)</f>
        <v>0</v>
      </c>
      <c r="K32" s="80">
        <f>SUMPRODUCT((annee=$I32)*(emprunts_annees!$A$123:$A$1367=$A32),emprunts_annees!$X$123:$X$1367)-SUMPRODUCT((De=$A32)*(année_refi=$I32)*Montant_transfere)</f>
        <v>0</v>
      </c>
      <c r="L32" s="80"/>
      <c r="O32" s="57">
        <f>IFERROR(0+(INDEX(emprunts!$Q$2:$Q$149,MATCH($B32,emprunts!$A$2:$A$149,0))="6F"),1)</f>
        <v>0</v>
      </c>
      <c r="P32" s="57">
        <f>IFERROR(0+(INDEX(emprunts!$Q$2:$Q$149,MATCH($A32,emprunts!$A$2:$A$149,0))="6F"),1)</f>
        <v>1</v>
      </c>
      <c r="Q32">
        <f t="shared" si="0"/>
        <v>0</v>
      </c>
      <c r="R32" s="5">
        <f>IF(W32="",INDEX(emprunts!$K$2:$K$149,MATCH($B32,emprunts!$A$2:$A$149,0)),W32)</f>
        <v>39190</v>
      </c>
    </row>
    <row r="33" spans="1:18">
      <c r="A33" s="1" t="s">
        <v>231</v>
      </c>
      <c r="B33" s="1" t="s">
        <v>251</v>
      </c>
      <c r="C33" s="57">
        <v>8308000</v>
      </c>
      <c r="F33" s="57">
        <f>SUMPRODUCT((emprunts!$A$2:$A$149=$B33)*emprunts!F$2:F$149)</f>
        <v>0</v>
      </c>
      <c r="G33" s="5">
        <f>IF(L33="",INDEX(emprunts!$M$2:$M$149,MATCH(B33,emprunts!$A$2:$A$149,0)),L33)</f>
        <v>40148</v>
      </c>
      <c r="H33" s="57">
        <f>IFERROR(1-(INDEX(emprunts!$Q$2:$Q$149,MATCH($A33,emprunts!$A$2:$A$149,0))="1A"),"")</f>
        <v>1</v>
      </c>
      <c r="I33">
        <f t="shared" si="1"/>
        <v>2009</v>
      </c>
      <c r="J33">
        <f>1*(INDEX(emprunts!$H$2:$H$149,MATCH($B33,emprunts!$A$2:$A$149,0))&gt;1)</f>
        <v>0</v>
      </c>
      <c r="K33" s="80">
        <f>SUMPRODUCT((annee=$I33)*(emprunts_annees!$A$123:$A$1367=$A33),emprunts_annees!$X$123:$X$1367)-SUMPRODUCT((De=$A33)*(année_refi=$I33)*Montant_transfere)</f>
        <v>0</v>
      </c>
      <c r="L33" s="80"/>
      <c r="O33" s="57">
        <f>IFERROR(0+(INDEX(emprunts!$Q$2:$Q$149,MATCH($B33,emprunts!$A$2:$A$149,0))="6F"),1)</f>
        <v>1</v>
      </c>
      <c r="P33" s="57">
        <f>IFERROR(0+(INDEX(emprunts!$Q$2:$Q$149,MATCH($A33,emprunts!$A$2:$A$149,0))="6F"),1)</f>
        <v>0</v>
      </c>
      <c r="Q33">
        <f t="shared" si="0"/>
        <v>0</v>
      </c>
      <c r="R33" s="5">
        <f>IF(W33="",INDEX(emprunts!$K$2:$K$149,MATCH($B33,emprunts!$A$2:$A$149,0)),W33)</f>
        <v>39681</v>
      </c>
    </row>
    <row r="34" spans="1:18">
      <c r="A34" s="1" t="s">
        <v>98</v>
      </c>
      <c r="B34" s="1" t="s">
        <v>180</v>
      </c>
      <c r="C34" s="57">
        <v>3470494</v>
      </c>
      <c r="F34" s="57">
        <f>SUMPRODUCT((emprunts!$A$2:$A$149=$B34)*emprunts!F$2:F$149)</f>
        <v>0</v>
      </c>
      <c r="G34" s="5">
        <f>IF(L34="",INDEX(emprunts!$M$2:$M$149,MATCH(B34,emprunts!$A$2:$A$149,0)),L34)</f>
        <v>38443</v>
      </c>
      <c r="H34" s="57">
        <f>IFERROR(1-(INDEX(emprunts!$Q$2:$Q$149,MATCH($A34,emprunts!$A$2:$A$149,0))="1A"),"")</f>
        <v>1</v>
      </c>
      <c r="I34">
        <f t="shared" si="1"/>
        <v>2005</v>
      </c>
      <c r="J34">
        <f>1*(INDEX(emprunts!$H$2:$H$149,MATCH($B34,emprunts!$A$2:$A$149,0))&gt;1)</f>
        <v>0</v>
      </c>
      <c r="K34" s="80">
        <f>SUMPRODUCT((annee=$I34)*(emprunts_annees!$A$123:$A$1367=$A34),emprunts_annees!$X$123:$X$1367)-SUMPRODUCT((De=$A34)*(année_refi=$I34)*Montant_transfere)</f>
        <v>0</v>
      </c>
      <c r="L34" s="80"/>
      <c r="M34" t="s">
        <v>666</v>
      </c>
      <c r="O34" s="57">
        <f>IFERROR(0+(INDEX(emprunts!$Q$2:$Q$149,MATCH($B34,emprunts!$A$2:$A$149,0))="6F"),1)</f>
        <v>1</v>
      </c>
      <c r="P34" s="57">
        <f>IFERROR(0+(INDEX(emprunts!$Q$2:$Q$149,MATCH($A34,emprunts!$A$2:$A$149,0))="6F"),1)</f>
        <v>0</v>
      </c>
      <c r="Q34">
        <f t="shared" si="0"/>
        <v>0</v>
      </c>
      <c r="R34" s="5">
        <f>IF(W34="",INDEX(emprunts!$K$2:$K$149,MATCH($B34,emprunts!$A$2:$A$149,0)),W34)</f>
        <v>38419</v>
      </c>
    </row>
    <row r="35" spans="1:18">
      <c r="A35" s="1" t="s">
        <v>98</v>
      </c>
      <c r="B35" s="1" t="s">
        <v>114</v>
      </c>
      <c r="C35" s="57">
        <v>0</v>
      </c>
      <c r="F35" s="57">
        <f>SUMPRODUCT((emprunts!$A$2:$A$149=$B35)*emprunts!F$2:F$149)</f>
        <v>0</v>
      </c>
      <c r="G35" s="5">
        <f>IF(L35="",INDEX(emprunts!$M$2:$M$149,MATCH(B35,emprunts!$A$2:$A$149,0)),L35)</f>
        <v>38384</v>
      </c>
      <c r="H35" s="57">
        <f>IFERROR(1-(INDEX(emprunts!$Q$2:$Q$149,MATCH($A35,emprunts!$A$2:$A$149,0))="1A"),"")</f>
        <v>1</v>
      </c>
      <c r="I35">
        <f t="shared" si="1"/>
        <v>2005</v>
      </c>
      <c r="J35">
        <f>1*(INDEX(emprunts!$H$2:$H$149,MATCH($B35,emprunts!$A$2:$A$149,0))&gt;1)</f>
        <v>0</v>
      </c>
      <c r="K35" s="80">
        <f>SUMPRODUCT((annee=$I35)*(emprunts_annees!$A$123:$A$1367=$A35),emprunts_annees!$X$123:$X$1367)-SUMPRODUCT((De=$A35)*(année_refi=$I35)*Montant_transfere)</f>
        <v>0</v>
      </c>
      <c r="L35" s="80"/>
      <c r="M35" t="s">
        <v>667</v>
      </c>
      <c r="O35" s="57">
        <f>IFERROR(0+(INDEX(emprunts!$Q$2:$Q$149,MATCH($B35,emprunts!$A$2:$A$149,0))="6F"),1)</f>
        <v>1</v>
      </c>
      <c r="P35" s="57">
        <f>IFERROR(0+(INDEX(emprunts!$Q$2:$Q$149,MATCH($A35,emprunts!$A$2:$A$149,0))="6F"),1)</f>
        <v>0</v>
      </c>
      <c r="Q35">
        <f t="shared" si="0"/>
        <v>0</v>
      </c>
      <c r="R35" s="5">
        <f>IF(W35="",INDEX(emprunts!$K$2:$K$149,MATCH($B35,emprunts!$A$2:$A$149,0)),W35)</f>
        <v>38334</v>
      </c>
    </row>
    <row r="36" spans="1:18">
      <c r="A36" s="1" t="s">
        <v>114</v>
      </c>
      <c r="B36" s="1" t="s">
        <v>461</v>
      </c>
      <c r="C36" s="57">
        <v>3593000</v>
      </c>
      <c r="F36" s="57">
        <f>SUMPRODUCT((emprunts!$A$2:$A$149=$B36)*emprunts!F$2:F$149)</f>
        <v>0</v>
      </c>
      <c r="G36" s="5">
        <f>IF(L36="",INDEX(emprunts!$M$2:$M$149,MATCH(B36,emprunts!$A$2:$A$149,0)),L36)</f>
        <v>39263</v>
      </c>
      <c r="H36" s="57">
        <f>IFERROR(1-(INDEX(emprunts!$Q$2:$Q$149,MATCH($A36,emprunts!$A$2:$A$149,0))="1A"),"")</f>
        <v>1</v>
      </c>
      <c r="I36">
        <f t="shared" si="1"/>
        <v>2007</v>
      </c>
      <c r="J36">
        <f>1*(INDEX(emprunts!$H$2:$H$149,MATCH($B36,emprunts!$A$2:$A$149,0))&gt;1)</f>
        <v>0</v>
      </c>
      <c r="K36" s="80">
        <f>SUMPRODUCT((annee=$I36)*(emprunts_annees!$A$123:$A$1367=$A36),emprunts_annees!$X$123:$X$1367)-SUMPRODUCT((De=$A36)*(année_refi=$I36)*Montant_transfere)</f>
        <v>0</v>
      </c>
      <c r="L36" s="108">
        <v>39263</v>
      </c>
      <c r="O36" s="57">
        <f>IFERROR(0+(INDEX(emprunts!$Q$2:$Q$149,MATCH($B36,emprunts!$A$2:$A$149,0))="6F"),1)</f>
        <v>0</v>
      </c>
      <c r="P36" s="57">
        <f>IFERROR(0+(INDEX(emprunts!$Q$2:$Q$149,MATCH($A36,emprunts!$A$2:$A$149,0))="6F"),1)</f>
        <v>1</v>
      </c>
      <c r="Q36">
        <f t="shared" si="0"/>
        <v>0</v>
      </c>
      <c r="R36" s="5">
        <f>IF(W36="",INDEX(emprunts!$K$2:$K$149,MATCH($B36,emprunts!$A$2:$A$149,0)),W36)</f>
        <v>38805</v>
      </c>
    </row>
    <row r="37" spans="1:18">
      <c r="A37" s="1" t="s">
        <v>114</v>
      </c>
      <c r="B37" s="1" t="s">
        <v>215</v>
      </c>
      <c r="C37" s="57">
        <v>4176000</v>
      </c>
      <c r="F37" s="57">
        <f>SUMPRODUCT((emprunts!$A$2:$A$149=$B37)*emprunts!F$2:F$149)</f>
        <v>0</v>
      </c>
      <c r="G37" s="5">
        <f>IF(L37="",INDEX(emprunts!$M$2:$M$149,MATCH(B37,emprunts!$A$2:$A$149,0)),L37)</f>
        <v>39263</v>
      </c>
      <c r="H37" s="57">
        <f>IFERROR(1-(INDEX(emprunts!$Q$2:$Q$149,MATCH($A37,emprunts!$A$2:$A$149,0))="1A"),"")</f>
        <v>1</v>
      </c>
      <c r="I37">
        <f t="shared" si="1"/>
        <v>2007</v>
      </c>
      <c r="J37">
        <f>1*(INDEX(emprunts!$H$2:$H$149,MATCH($B37,emprunts!$A$2:$A$149,0))&gt;1)</f>
        <v>0</v>
      </c>
      <c r="K37" s="80">
        <f>SUMPRODUCT((annee=$I37)*(emprunts_annees!$A$123:$A$1367=$A37),emprunts_annees!$X$123:$X$1367)-SUMPRODUCT((De=$A37)*(année_refi=$I37)*Montant_transfere)</f>
        <v>0</v>
      </c>
      <c r="L37" s="108">
        <v>39263</v>
      </c>
      <c r="O37" s="57">
        <f>IFERROR(0+(INDEX(emprunts!$Q$2:$Q$149,MATCH($B37,emprunts!$A$2:$A$149,0))="6F"),1)</f>
        <v>1</v>
      </c>
      <c r="P37" s="57">
        <f>IFERROR(0+(INDEX(emprunts!$Q$2:$Q$149,MATCH($A37,emprunts!$A$2:$A$149,0))="6F"),1)</f>
        <v>1</v>
      </c>
      <c r="Q37">
        <f t="shared" si="0"/>
        <v>1</v>
      </c>
      <c r="R37" s="5">
        <f>IF(W37="",INDEX(emprunts!$K$2:$K$149,MATCH($B37,emprunts!$A$2:$A$149,0)),W37)</f>
        <v>38805</v>
      </c>
    </row>
    <row r="38" spans="1:18">
      <c r="A38" s="1" t="s">
        <v>114</v>
      </c>
      <c r="B38" s="1" t="s">
        <v>217</v>
      </c>
      <c r="C38" s="57">
        <v>4165000</v>
      </c>
      <c r="F38" s="57">
        <f>SUMPRODUCT((emprunts!$A$2:$A$149=$B38)*emprunts!F$2:F$149)</f>
        <v>0</v>
      </c>
      <c r="G38" s="5">
        <f>IF(L38="",INDEX(emprunts!$M$2:$M$149,MATCH(B38,emprunts!$A$2:$A$149,0)),L38)</f>
        <v>39263</v>
      </c>
      <c r="H38" s="57">
        <f>IFERROR(1-(INDEX(emprunts!$Q$2:$Q$149,MATCH($A38,emprunts!$A$2:$A$149,0))="1A"),"")</f>
        <v>1</v>
      </c>
      <c r="I38">
        <f t="shared" si="1"/>
        <v>2007</v>
      </c>
      <c r="J38">
        <f>1*(INDEX(emprunts!$H$2:$H$149,MATCH($B38,emprunts!$A$2:$A$149,0))&gt;1)</f>
        <v>0</v>
      </c>
      <c r="K38" s="80">
        <f>SUMPRODUCT((annee=$I38)*(emprunts_annees!$A$123:$A$1367=$A38),emprunts_annees!$X$123:$X$1367)-SUMPRODUCT((De=$A38)*(année_refi=$I38)*Montant_transfere)</f>
        <v>0</v>
      </c>
      <c r="L38" s="108">
        <v>39263</v>
      </c>
      <c r="O38" s="57">
        <f>IFERROR(0+(INDEX(emprunts!$Q$2:$Q$149,MATCH($B38,emprunts!$A$2:$A$149,0))="6F"),1)</f>
        <v>1</v>
      </c>
      <c r="P38" s="57">
        <f>IFERROR(0+(INDEX(emprunts!$Q$2:$Q$149,MATCH($A38,emprunts!$A$2:$A$149,0))="6F"),1)</f>
        <v>1</v>
      </c>
      <c r="Q38">
        <f t="shared" si="0"/>
        <v>1</v>
      </c>
      <c r="R38" s="5">
        <f>IF(W38="",INDEX(emprunts!$K$2:$K$149,MATCH($B38,emprunts!$A$2:$A$149,0)),W38)</f>
        <v>38805</v>
      </c>
    </row>
    <row r="39" spans="1:18">
      <c r="A39" s="1" t="s">
        <v>461</v>
      </c>
      <c r="B39" s="1" t="s">
        <v>222</v>
      </c>
      <c r="C39" s="57">
        <v>10344000</v>
      </c>
      <c r="F39" s="57">
        <f>SUMPRODUCT((emprunts!$A$2:$A$149=$B39)*emprunts!F$2:F$149)</f>
        <v>0</v>
      </c>
      <c r="G39" s="5">
        <f>IF(L39="",INDEX(emprunts!$M$2:$M$149,MATCH(B39,emprunts!$A$2:$A$149,0)),L39)</f>
        <v>39114</v>
      </c>
      <c r="H39" s="57">
        <f>IFERROR(1-(INDEX(emprunts!$Q$2:$Q$149,MATCH($A39,emprunts!$A$2:$A$149,0))="1A"),"")</f>
        <v>1</v>
      </c>
      <c r="I39">
        <f t="shared" si="1"/>
        <v>2007</v>
      </c>
      <c r="J39">
        <f>1*(INDEX(emprunts!$H$2:$H$149,MATCH($B39,emprunts!$A$2:$A$149,0))&gt;1)</f>
        <v>0</v>
      </c>
      <c r="K39" s="80">
        <f>SUMPRODUCT((annee=$I39)*(emprunts_annees!$A$123:$A$1367=$A39),emprunts_annees!$X$123:$X$1367)-SUMPRODUCT((De=$A39)*(année_refi=$I39)*Montant_transfere)</f>
        <v>0</v>
      </c>
      <c r="L39" s="80"/>
      <c r="O39" s="57">
        <f>IFERROR(0+(INDEX(emprunts!$Q$2:$Q$149,MATCH($B39,emprunts!$A$2:$A$149,0))="6F"),1)</f>
        <v>1</v>
      </c>
      <c r="P39" s="57">
        <f>IFERROR(0+(INDEX(emprunts!$Q$2:$Q$149,MATCH($A39,emprunts!$A$2:$A$149,0))="6F"),1)</f>
        <v>0</v>
      </c>
      <c r="Q39">
        <f t="shared" si="0"/>
        <v>0</v>
      </c>
      <c r="R39" s="5">
        <f>IF(W39="",INDEX(emprunts!$K$2:$K$149,MATCH($B39,emprunts!$A$2:$A$149,0)),W39)</f>
        <v>39108</v>
      </c>
    </row>
    <row r="40" spans="1:18">
      <c r="A40" s="1" t="s">
        <v>222</v>
      </c>
      <c r="B40" s="1" t="s">
        <v>255</v>
      </c>
      <c r="C40" s="57">
        <v>8085000</v>
      </c>
      <c r="F40" s="57">
        <f>SUMPRODUCT((emprunts!$A$2:$A$149=$B40)*emprunts!F$2:F$149)</f>
        <v>0</v>
      </c>
      <c r="G40" s="5">
        <f>IF(L40="",INDEX(emprunts!$M$2:$M$149,MATCH(B40,emprunts!$A$2:$A$149,0)),L40)</f>
        <v>39668</v>
      </c>
      <c r="H40" s="57">
        <f>IFERROR(1-(INDEX(emprunts!$Q$2:$Q$149,MATCH($A40,emprunts!$A$2:$A$149,0))="1A"),"")</f>
        <v>1</v>
      </c>
      <c r="I40">
        <f t="shared" si="1"/>
        <v>2008</v>
      </c>
      <c r="J40">
        <f>1*(INDEX(emprunts!$H$2:$H$149,MATCH($B40,emprunts!$A$2:$A$149,0))&gt;1)</f>
        <v>0</v>
      </c>
      <c r="K40" s="80">
        <f>SUMPRODUCT((annee=$I40)*(emprunts_annees!$A$123:$A$1367=$A40),emprunts_annees!$X$123:$X$1367)-SUMPRODUCT((De=$A40)*(année_refi=$I40)*Montant_transfere)</f>
        <v>0</v>
      </c>
      <c r="L40" s="80"/>
      <c r="O40" s="57">
        <f>IFERROR(0+(INDEX(emprunts!$Q$2:$Q$149,MATCH($B40,emprunts!$A$2:$A$149,0))="6F"),1)</f>
        <v>1</v>
      </c>
      <c r="P40" s="57">
        <f>IFERROR(0+(INDEX(emprunts!$Q$2:$Q$149,MATCH($A40,emprunts!$A$2:$A$149,0))="6F"),1)</f>
        <v>1</v>
      </c>
      <c r="Q40">
        <f t="shared" si="0"/>
        <v>1</v>
      </c>
      <c r="R40" s="5">
        <f>IF(W40="",INDEX(emprunts!$K$2:$K$149,MATCH($B40,emprunts!$A$2:$A$149,0)),W40)</f>
        <v>39681</v>
      </c>
    </row>
    <row r="41" spans="1:18">
      <c r="A41" s="1" t="s">
        <v>222</v>
      </c>
      <c r="B41" s="1" t="s">
        <v>256</v>
      </c>
      <c r="C41" s="57">
        <v>9085000</v>
      </c>
      <c r="F41" s="57">
        <f>SUMPRODUCT((emprunts!$A$2:$A$149=$B41)*emprunts!F$2:F$149)</f>
        <v>0</v>
      </c>
      <c r="G41" s="5">
        <f>IF(L41="",INDEX(emprunts!$M$2:$M$149,MATCH(B41,emprunts!$A$2:$A$149,0)),L41)</f>
        <v>39668</v>
      </c>
      <c r="H41" s="57">
        <f>IFERROR(1-(INDEX(emprunts!$Q$2:$Q$149,MATCH($A41,emprunts!$A$2:$A$149,0))="1A"),"")</f>
        <v>1</v>
      </c>
      <c r="I41">
        <f t="shared" si="1"/>
        <v>2008</v>
      </c>
      <c r="J41">
        <f>1*(INDEX(emprunts!$H$2:$H$149,MATCH($B41,emprunts!$A$2:$A$149,0))&gt;1)</f>
        <v>0</v>
      </c>
      <c r="K41" s="80">
        <f>SUMPRODUCT((annee=$I41)*(emprunts_annees!$A$123:$A$1367=$A41),emprunts_annees!$X$123:$X$1367)-SUMPRODUCT((De=$A41)*(année_refi=$I41)*Montant_transfere)</f>
        <v>0</v>
      </c>
      <c r="L41" s="80"/>
      <c r="O41" s="57">
        <f>IFERROR(0+(INDEX(emprunts!$Q$2:$Q$149,MATCH($B41,emprunts!$A$2:$A$149,0))="6F"),1)</f>
        <v>1</v>
      </c>
      <c r="P41" s="57">
        <f>IFERROR(0+(INDEX(emprunts!$Q$2:$Q$149,MATCH($A41,emprunts!$A$2:$A$149,0))="6F"),1)</f>
        <v>1</v>
      </c>
      <c r="Q41">
        <f t="shared" si="0"/>
        <v>1</v>
      </c>
      <c r="R41" s="5">
        <f>IF(W41="",INDEX(emprunts!$K$2:$K$149,MATCH($B41,emprunts!$A$2:$A$149,0)),W41)</f>
        <v>39681</v>
      </c>
    </row>
    <row r="42" spans="1:18">
      <c r="A42" s="1" t="s">
        <v>255</v>
      </c>
      <c r="B42" s="1" t="s">
        <v>333</v>
      </c>
      <c r="C42" s="57">
        <v>8565000</v>
      </c>
      <c r="F42" s="57">
        <f>SUMPRODUCT((emprunts!$A$2:$A$149=$B42)*emprunts!F$2:F$149)</f>
        <v>0</v>
      </c>
      <c r="G42" s="5">
        <f>IF(L42="",INDEX(emprunts!$M$2:$M$149,MATCH(B42,emprunts!$A$2:$A$149,0)),L42)</f>
        <v>40848</v>
      </c>
      <c r="H42" s="57">
        <f>IFERROR(1-(INDEX(emprunts!$Q$2:$Q$149,MATCH($A42,emprunts!$A$2:$A$149,0))="1A"),"")</f>
        <v>1</v>
      </c>
      <c r="I42">
        <f t="shared" si="1"/>
        <v>2011</v>
      </c>
      <c r="J42">
        <f>1*(INDEX(emprunts!$H$2:$H$149,MATCH($B42,emprunts!$A$2:$A$149,0))&gt;1)</f>
        <v>0</v>
      </c>
      <c r="K42" s="80">
        <f>SUMPRODUCT((annee=$I42)*(emprunts_annees!$A$123:$A$1367=$A42),emprunts_annees!$X$123:$X$1367)-SUMPRODUCT((De=$A42)*(année_refi=$I42)*Montant_transfere)</f>
        <v>0</v>
      </c>
      <c r="L42" s="80"/>
      <c r="O42" s="57">
        <f>IFERROR(0+(INDEX(emprunts!$Q$2:$Q$149,MATCH($B42,emprunts!$A$2:$A$149,0))="6F"),1)</f>
        <v>1</v>
      </c>
      <c r="P42" s="57">
        <f>IFERROR(0+(INDEX(emprunts!$Q$2:$Q$149,MATCH($A42,emprunts!$A$2:$A$149,0))="6F"),1)</f>
        <v>1</v>
      </c>
      <c r="Q42">
        <f t="shared" si="0"/>
        <v>1</v>
      </c>
      <c r="R42" s="5">
        <f>IF(W42="",INDEX(emprunts!$K$2:$K$149,MATCH($B42,emprunts!$A$2:$A$149,0)),W42)</f>
        <v>40877</v>
      </c>
    </row>
    <row r="43" spans="1:18">
      <c r="A43" s="1" t="s">
        <v>333</v>
      </c>
      <c r="B43" s="1" t="s">
        <v>359</v>
      </c>
      <c r="C43" s="57">
        <v>7369000</v>
      </c>
      <c r="D43" s="57">
        <v>2200000</v>
      </c>
      <c r="F43" s="57">
        <f>SUMPRODUCT((emprunts!$A$2:$A$149=$B43)*emprunts!F$2:F$149)</f>
        <v>2200000</v>
      </c>
      <c r="G43" s="5">
        <f>IF(L43="",INDEX(emprunts!$M$2:$M$149,MATCH(B43,emprunts!$A$2:$A$149,0)),L43)</f>
        <v>41654</v>
      </c>
      <c r="H43" s="57">
        <f>IFERROR(1-(INDEX(emprunts!$Q$2:$Q$149,MATCH($A43,emprunts!$A$2:$A$149,0))="1A"),"")</f>
        <v>1</v>
      </c>
      <c r="I43">
        <f t="shared" si="1"/>
        <v>2014</v>
      </c>
      <c r="J43">
        <f>1*(INDEX(emprunts!$H$2:$H$149,MATCH($B43,emprunts!$A$2:$A$149,0))&gt;1)</f>
        <v>0</v>
      </c>
      <c r="K43" s="80">
        <f>SUMPRODUCT((annee=$I43)*(emprunts_annees!$A$123:$A$1367=$A43),emprunts_annees!$X$123:$X$1367)-SUMPRODUCT((De=$A43)*(année_refi=$I43)*Montant_transfere)</f>
        <v>0</v>
      </c>
      <c r="L43" s="80"/>
      <c r="O43" s="57">
        <f>IFERROR(0+(INDEX(emprunts!$Q$2:$Q$149,MATCH($B43,emprunts!$A$2:$A$149,0))="6F"),1)</f>
        <v>0</v>
      </c>
      <c r="P43" s="57">
        <f>IFERROR(0+(INDEX(emprunts!$Q$2:$Q$149,MATCH($A43,emprunts!$A$2:$A$149,0))="6F"),1)</f>
        <v>1</v>
      </c>
      <c r="Q43">
        <f t="shared" si="0"/>
        <v>0</v>
      </c>
      <c r="R43" s="5">
        <f>IF(W43="",INDEX(emprunts!$K$2:$K$149,MATCH($B43,emprunts!$A$2:$A$149,0)),W43)</f>
        <v>41593</v>
      </c>
    </row>
    <row r="44" spans="1:18">
      <c r="A44" s="1" t="s">
        <v>256</v>
      </c>
      <c r="B44" s="1" t="s">
        <v>257</v>
      </c>
      <c r="C44" s="57">
        <v>8792725.3100000005</v>
      </c>
      <c r="F44" s="57">
        <f>SUMPRODUCT((emprunts!$A$2:$A$149=$B44)*emprunts!F$2:F$149)</f>
        <v>0</v>
      </c>
      <c r="G44" s="5">
        <f>IF(L44="",INDEX(emprunts!$M$2:$M$149,MATCH(B44,emprunts!$A$2:$A$149,0)),L44)</f>
        <v>41214</v>
      </c>
      <c r="H44" s="57">
        <f>IFERROR(1-(INDEX(emprunts!$Q$2:$Q$149,MATCH($A44,emprunts!$A$2:$A$149,0))="1A"),"")</f>
        <v>1</v>
      </c>
      <c r="I44">
        <f t="shared" si="1"/>
        <v>2012</v>
      </c>
      <c r="J44">
        <f>1*(INDEX(emprunts!$H$2:$H$149,MATCH($B44,emprunts!$A$2:$A$149,0))&gt;1)</f>
        <v>0</v>
      </c>
      <c r="K44" s="80">
        <f>SUMPRODUCT((annee=$I44)*(emprunts_annees!$A$123:$A$1367=$A44),emprunts_annees!$X$123:$X$1367)-SUMPRODUCT((De=$A44)*(année_refi=$I44)*Montant_transfere)</f>
        <v>0</v>
      </c>
      <c r="L44" s="80"/>
      <c r="M44" t="s">
        <v>681</v>
      </c>
      <c r="O44" s="57">
        <f>IFERROR(0+(INDEX(emprunts!$Q$2:$Q$149,MATCH($B44,emprunts!$A$2:$A$149,0))="6F"),1)</f>
        <v>1</v>
      </c>
      <c r="P44" s="57">
        <f>IFERROR(0+(INDEX(emprunts!$Q$2:$Q$149,MATCH($A44,emprunts!$A$2:$A$149,0))="6F"),1)</f>
        <v>1</v>
      </c>
      <c r="Q44">
        <f t="shared" si="0"/>
        <v>1</v>
      </c>
      <c r="R44" s="5">
        <f>IF(W44="",INDEX(emprunts!$K$2:$K$149,MATCH($B44,emprunts!$A$2:$A$149,0)),W44)</f>
        <v>39681</v>
      </c>
    </row>
    <row r="45" spans="1:18">
      <c r="A45" s="1" t="s">
        <v>257</v>
      </c>
      <c r="B45" s="1" t="s">
        <v>491</v>
      </c>
      <c r="C45" s="57">
        <v>7433000</v>
      </c>
      <c r="D45" s="57">
        <v>3200000</v>
      </c>
      <c r="F45" s="57">
        <f>SUMPRODUCT((emprunts!$A$2:$A$149=$B45)*emprunts!F$2:F$149)</f>
        <v>3200000</v>
      </c>
      <c r="G45" s="5">
        <f>IF(L45="",INDEX(emprunts!$M$2:$M$149,MATCH(B45,emprunts!$A$2:$A$149,0)),L45)</f>
        <v>43040</v>
      </c>
      <c r="H45" s="57">
        <f>IFERROR(1-(INDEX(emprunts!$Q$2:$Q$149,MATCH($A45,emprunts!$A$2:$A$149,0))="1A"),"")</f>
        <v>1</v>
      </c>
      <c r="I45">
        <f t="shared" si="1"/>
        <v>2017</v>
      </c>
      <c r="J45">
        <f>1*(INDEX(emprunts!$H$2:$H$149,MATCH($B45,emprunts!$A$2:$A$149,0))&gt;1)</f>
        <v>1</v>
      </c>
      <c r="K45" s="80">
        <f>SUMPRODUCT((annee=$I45)*(emprunts_annees!$A$123:$A$1367=$A45),emprunts_annees!$X$123:$X$1367)-SUMPRODUCT((De=$A45)*(année_refi=$I45)*Montant_transfere)</f>
        <v>0</v>
      </c>
      <c r="L45" s="80"/>
      <c r="O45" s="57">
        <f>IFERROR(0+(INDEX(emprunts!$Q$2:$Q$149,MATCH($B45,emprunts!$A$2:$A$149,0))="6F"),1)</f>
        <v>0</v>
      </c>
      <c r="P45" s="57">
        <f>IFERROR(0+(INDEX(emprunts!$Q$2:$Q$149,MATCH($A45,emprunts!$A$2:$A$149,0))="6F"),1)</f>
        <v>1</v>
      </c>
      <c r="Q45">
        <f t="shared" si="0"/>
        <v>0</v>
      </c>
      <c r="R45" s="5">
        <f>IF(W45="",INDEX(emprunts!$K$2:$K$149,MATCH($B45,emprunts!$A$2:$A$149,0)),W45)</f>
        <v>42488</v>
      </c>
    </row>
    <row r="46" spans="1:18">
      <c r="A46" s="1" t="s">
        <v>46</v>
      </c>
      <c r="B46" s="1" t="s">
        <v>90</v>
      </c>
      <c r="C46" s="57">
        <v>12533000</v>
      </c>
      <c r="D46" s="57">
        <v>1100000</v>
      </c>
      <c r="F46" s="57">
        <f>SUMPRODUCT((emprunts!$A$2:$A$149=$B46)*emprunts!F$2:F$149)</f>
        <v>1100000</v>
      </c>
      <c r="G46" s="5">
        <f>IF(L46="",INDEX(emprunts!$M$2:$M$149,MATCH(B46,emprunts!$A$2:$A$149,0)),L46)</f>
        <v>38087</v>
      </c>
      <c r="H46" s="57">
        <f>IFERROR(1-(INDEX(emprunts!$Q$2:$Q$149,MATCH($A46,emprunts!$A$2:$A$149,0))="1A"),"")</f>
        <v>1</v>
      </c>
      <c r="I46">
        <f t="shared" si="1"/>
        <v>2004</v>
      </c>
      <c r="J46">
        <f>1*(INDEX(emprunts!$H$2:$H$149,MATCH($B46,emprunts!$A$2:$A$149,0))&gt;1)</f>
        <v>0</v>
      </c>
      <c r="K46" s="80">
        <f>SUMPRODUCT((annee=$I46)*(emprunts_annees!$A$123:$A$1367=$A46),emprunts_annees!$X$123:$X$1367)-SUMPRODUCT((De=$A46)*(année_refi=$I46)*Montant_transfere)</f>
        <v>0</v>
      </c>
      <c r="L46" s="80"/>
      <c r="O46" s="57">
        <f>IFERROR(0+(INDEX(emprunts!$Q$2:$Q$149,MATCH($B46,emprunts!$A$2:$A$149,0))="6F"),1)</f>
        <v>0</v>
      </c>
      <c r="P46" s="57">
        <f>IFERROR(0+(INDEX(emprunts!$Q$2:$Q$149,MATCH($A46,emprunts!$A$2:$A$149,0))="6F"),1)</f>
        <v>0</v>
      </c>
      <c r="Q46">
        <f t="shared" si="0"/>
        <v>0</v>
      </c>
      <c r="R46" s="5">
        <f>IF(W46="",INDEX(emprunts!$K$2:$K$149,MATCH($B46,emprunts!$A$2:$A$149,0)),W46)</f>
        <v>38062</v>
      </c>
    </row>
    <row r="47" spans="1:18">
      <c r="A47" s="1" t="s">
        <v>90</v>
      </c>
      <c r="B47" s="1" t="s">
        <v>193</v>
      </c>
      <c r="C47" s="57">
        <v>12870000</v>
      </c>
      <c r="F47" s="57">
        <f>SUMPRODUCT((emprunts!$A$2:$A$149=$B47)*emprunts!F$2:F$149)</f>
        <v>0</v>
      </c>
      <c r="G47" s="5">
        <f>IF(L47="",INDEX(emprunts!$M$2:$M$149,MATCH(B47,emprunts!$A$2:$A$149,0)),L47)</f>
        <v>38687</v>
      </c>
      <c r="H47" s="57">
        <f>IFERROR(1-(INDEX(emprunts!$Q$2:$Q$149,MATCH($A47,emprunts!$A$2:$A$149,0))="1A"),"")</f>
        <v>1</v>
      </c>
      <c r="I47">
        <f t="shared" si="1"/>
        <v>2005</v>
      </c>
      <c r="J47">
        <f>1*(INDEX(emprunts!$H$2:$H$149,MATCH($B47,emprunts!$A$2:$A$149,0))&gt;1)</f>
        <v>0</v>
      </c>
      <c r="K47" s="80">
        <f>SUMPRODUCT((annee=$I47)*(emprunts_annees!$A$123:$A$1367=$A47),emprunts_annees!$X$123:$X$1367)-SUMPRODUCT((De=$A47)*(année_refi=$I47)*Montant_transfere)</f>
        <v>0</v>
      </c>
      <c r="L47" s="80"/>
      <c r="O47" s="57">
        <f>IFERROR(0+(INDEX(emprunts!$Q$2:$Q$149,MATCH($B47,emprunts!$A$2:$A$149,0))="6F"),1)</f>
        <v>0</v>
      </c>
      <c r="P47" s="57">
        <f>IFERROR(0+(INDEX(emprunts!$Q$2:$Q$149,MATCH($A47,emprunts!$A$2:$A$149,0))="6F"),1)</f>
        <v>0</v>
      </c>
      <c r="Q47">
        <f t="shared" si="0"/>
        <v>0</v>
      </c>
      <c r="R47" s="5">
        <f>IF(W47="",INDEX(emprunts!$K$2:$K$149,MATCH($B47,emprunts!$A$2:$A$149,0)),W47)</f>
        <v>38474</v>
      </c>
    </row>
    <row r="48" spans="1:18">
      <c r="A48" s="1" t="s">
        <v>193</v>
      </c>
      <c r="B48" s="1" t="s">
        <v>461</v>
      </c>
      <c r="C48" s="57">
        <v>3001000</v>
      </c>
      <c r="F48" s="57">
        <f>SUMPRODUCT((emprunts!$A$2:$A$149=$B48)*emprunts!F$2:F$149)</f>
        <v>0</v>
      </c>
      <c r="G48" s="5">
        <f>IF(L48="",INDEX(emprunts!$M$2:$M$149,MATCH(B48,emprunts!$A$2:$A$149,0)),L48)</f>
        <v>38805</v>
      </c>
      <c r="H48" s="57">
        <f>IFERROR(1-(INDEX(emprunts!$Q$2:$Q$149,MATCH($A48,emprunts!$A$2:$A$149,0))="1A"),"")</f>
        <v>1</v>
      </c>
      <c r="I48">
        <f t="shared" si="1"/>
        <v>2006</v>
      </c>
      <c r="J48">
        <f>1*(INDEX(emprunts!$H$2:$H$149,MATCH($B48,emprunts!$A$2:$A$149,0))&gt;1)</f>
        <v>0</v>
      </c>
      <c r="K48" s="80">
        <f>SUMPRODUCT((annee=$I48)*(emprunts_annees!$A$123:$A$1367=$A48),emprunts_annees!$X$123:$X$1367)-SUMPRODUCT((De=$A48)*(année_refi=$I48)*Montant_transfere)</f>
        <v>0</v>
      </c>
      <c r="L48" s="80"/>
      <c r="O48" s="57">
        <f>IFERROR(0+(INDEX(emprunts!$Q$2:$Q$149,MATCH($B48,emprunts!$A$2:$A$149,0))="6F"),1)</f>
        <v>0</v>
      </c>
      <c r="P48" s="57">
        <f>IFERROR(0+(INDEX(emprunts!$Q$2:$Q$149,MATCH($A48,emprunts!$A$2:$A$149,0))="6F"),1)</f>
        <v>0</v>
      </c>
      <c r="Q48">
        <f t="shared" si="0"/>
        <v>0</v>
      </c>
      <c r="R48" s="5">
        <f>IF(W48="",INDEX(emprunts!$K$2:$K$149,MATCH($B48,emprunts!$A$2:$A$149,0)),W48)</f>
        <v>38805</v>
      </c>
    </row>
    <row r="49" spans="1:18">
      <c r="A49" s="1" t="s">
        <v>105</v>
      </c>
      <c r="B49" s="1" t="s">
        <v>186</v>
      </c>
      <c r="C49" s="57">
        <v>4528000</v>
      </c>
      <c r="F49" s="57">
        <f>SUMPRODUCT((emprunts!$A$2:$A$149=$B49)*emprunts!F$2:F$149)</f>
        <v>0</v>
      </c>
      <c r="G49" s="5">
        <f>IF(L49="",INDEX(emprunts!$M$2:$M$149,MATCH(B49,emprunts!$A$2:$A$149,0)),L49)</f>
        <v>38504</v>
      </c>
      <c r="H49" s="57">
        <f>IFERROR(1-(INDEX(emprunts!$Q$2:$Q$149,MATCH($A49,emprunts!$A$2:$A$149,0))="1A"),"")</f>
        <v>1</v>
      </c>
      <c r="I49">
        <f t="shared" si="1"/>
        <v>2005</v>
      </c>
      <c r="J49">
        <f>1*(INDEX(emprunts!$H$2:$H$149,MATCH($B49,emprunts!$A$2:$A$149,0))&gt;1)</f>
        <v>0</v>
      </c>
      <c r="K49" s="80">
        <f>SUMPRODUCT((annee=$I49)*(emprunts_annees!$A$123:$A$1367=$A49),emprunts_annees!$X$123:$X$1367)-SUMPRODUCT((De=$A49)*(année_refi=$I49)*Montant_transfere)</f>
        <v>0</v>
      </c>
      <c r="L49" s="80"/>
      <c r="O49" s="57">
        <f>IFERROR(0+(INDEX(emprunts!$Q$2:$Q$149,MATCH($B49,emprunts!$A$2:$A$149,0))="6F"),1)</f>
        <v>1</v>
      </c>
      <c r="P49" s="57">
        <f>IFERROR(0+(INDEX(emprunts!$Q$2:$Q$149,MATCH($A49,emprunts!$A$2:$A$149,0))="6F"),1)</f>
        <v>1</v>
      </c>
      <c r="Q49">
        <f t="shared" si="0"/>
        <v>1</v>
      </c>
      <c r="R49" s="5">
        <f>IF(W49="",INDEX(emprunts!$K$2:$K$149,MATCH($B49,emprunts!$A$2:$A$149,0)),W49)</f>
        <v>38420</v>
      </c>
    </row>
    <row r="50" spans="1:18">
      <c r="A50" s="1" t="s">
        <v>186</v>
      </c>
      <c r="B50" s="1" t="s">
        <v>461</v>
      </c>
      <c r="C50" s="57">
        <v>3750000</v>
      </c>
      <c r="F50" s="57">
        <f>SUMPRODUCT((emprunts!$A$2:$A$149=$B50)*emprunts!F$2:F$149)</f>
        <v>0</v>
      </c>
      <c r="G50" s="5">
        <f>IF(L50="",INDEX(emprunts!$M$2:$M$149,MATCH(B50,emprunts!$A$2:$A$149,0)),L50)</f>
        <v>38805</v>
      </c>
      <c r="H50" s="57">
        <f>IFERROR(1-(INDEX(emprunts!$Q$2:$Q$149,MATCH($A50,emprunts!$A$2:$A$149,0))="1A"),"")</f>
        <v>1</v>
      </c>
      <c r="I50">
        <f t="shared" si="1"/>
        <v>2006</v>
      </c>
      <c r="J50">
        <f>1*(INDEX(emprunts!$H$2:$H$149,MATCH($B50,emprunts!$A$2:$A$149,0))&gt;1)</f>
        <v>0</v>
      </c>
      <c r="K50" s="80">
        <f>SUMPRODUCT((annee=$I50)*(emprunts_annees!$A$123:$A$1367=$A50),emprunts_annees!$X$123:$X$1367)-SUMPRODUCT((De=$A50)*(année_refi=$I50)*Montant_transfere)</f>
        <v>0</v>
      </c>
      <c r="L50" s="80"/>
      <c r="O50" s="57">
        <f>IFERROR(0+(INDEX(emprunts!$Q$2:$Q$149,MATCH($B50,emprunts!$A$2:$A$149,0))="6F"),1)</f>
        <v>0</v>
      </c>
      <c r="P50" s="57">
        <f>IFERROR(0+(INDEX(emprunts!$Q$2:$Q$149,MATCH($A50,emprunts!$A$2:$A$149,0))="6F"),1)</f>
        <v>1</v>
      </c>
      <c r="Q50">
        <f t="shared" si="0"/>
        <v>0</v>
      </c>
      <c r="R50" s="5">
        <f>IF(W50="",INDEX(emprunts!$K$2:$K$149,MATCH($B50,emprunts!$A$2:$A$149,0)),W50)</f>
        <v>38805</v>
      </c>
    </row>
    <row r="51" spans="1:18">
      <c r="A51" s="1" t="s">
        <v>186</v>
      </c>
      <c r="B51" s="1" t="s">
        <v>215</v>
      </c>
      <c r="C51" s="57">
        <v>4358000</v>
      </c>
      <c r="F51" s="57">
        <f>SUMPRODUCT((emprunts!$A$2:$A$149=$B51)*emprunts!F$2:F$149)</f>
        <v>0</v>
      </c>
      <c r="G51" s="5">
        <f>IF(L51="",INDEX(emprunts!$M$2:$M$149,MATCH(B51,emprunts!$A$2:$A$149,0)),L51)</f>
        <v>38991</v>
      </c>
      <c r="H51" s="57">
        <f>IFERROR(1-(INDEX(emprunts!$Q$2:$Q$149,MATCH($A51,emprunts!$A$2:$A$149,0))="1A"),"")</f>
        <v>1</v>
      </c>
      <c r="I51">
        <f t="shared" si="1"/>
        <v>2006</v>
      </c>
      <c r="J51">
        <f>1*(INDEX(emprunts!$H$2:$H$149,MATCH($B51,emprunts!$A$2:$A$149,0))&gt;1)</f>
        <v>0</v>
      </c>
      <c r="K51" s="80">
        <f>SUMPRODUCT((annee=$I51)*(emprunts_annees!$A$123:$A$1367=$A51),emprunts_annees!$X$123:$X$1367)-SUMPRODUCT((De=$A51)*(année_refi=$I51)*Montant_transfere)</f>
        <v>0</v>
      </c>
      <c r="L51" s="80"/>
      <c r="O51" s="57">
        <f>IFERROR(0+(INDEX(emprunts!$Q$2:$Q$149,MATCH($B51,emprunts!$A$2:$A$149,0))="6F"),1)</f>
        <v>1</v>
      </c>
      <c r="P51" s="57">
        <f>IFERROR(0+(INDEX(emprunts!$Q$2:$Q$149,MATCH($A51,emprunts!$A$2:$A$149,0))="6F"),1)</f>
        <v>1</v>
      </c>
      <c r="Q51">
        <f t="shared" si="0"/>
        <v>1</v>
      </c>
      <c r="R51" s="5">
        <f>IF(W51="",INDEX(emprunts!$K$2:$K$149,MATCH($B51,emprunts!$A$2:$A$149,0)),W51)</f>
        <v>38805</v>
      </c>
    </row>
    <row r="52" spans="1:18">
      <c r="A52" s="1" t="s">
        <v>186</v>
      </c>
      <c r="B52" s="1" t="s">
        <v>217</v>
      </c>
      <c r="C52" s="57">
        <v>4347000</v>
      </c>
      <c r="F52" s="57">
        <f>SUMPRODUCT((emprunts!$A$2:$A$149=$B52)*emprunts!F$2:F$149)</f>
        <v>0</v>
      </c>
      <c r="G52" s="5">
        <f>IF(L52="",INDEX(emprunts!$M$2:$M$149,MATCH(B52,emprunts!$A$2:$A$149,0)),L52)</f>
        <v>38991</v>
      </c>
      <c r="H52" s="57">
        <f>IFERROR(1-(INDEX(emprunts!$Q$2:$Q$149,MATCH($A52,emprunts!$A$2:$A$149,0))="1A"),"")</f>
        <v>1</v>
      </c>
      <c r="I52">
        <f t="shared" si="1"/>
        <v>2006</v>
      </c>
      <c r="J52">
        <f>1*(INDEX(emprunts!$H$2:$H$149,MATCH($B52,emprunts!$A$2:$A$149,0))&gt;1)</f>
        <v>0</v>
      </c>
      <c r="K52" s="80">
        <f>SUMPRODUCT((annee=$I52)*(emprunts_annees!$A$123:$A$1367=$A52),emprunts_annees!$X$123:$X$1367)-SUMPRODUCT((De=$A52)*(année_refi=$I52)*Montant_transfere)</f>
        <v>0</v>
      </c>
      <c r="L52" s="80"/>
      <c r="O52" s="57">
        <f>IFERROR(0+(INDEX(emprunts!$Q$2:$Q$149,MATCH($B52,emprunts!$A$2:$A$149,0))="6F"),1)</f>
        <v>1</v>
      </c>
      <c r="P52" s="57">
        <f>IFERROR(0+(INDEX(emprunts!$Q$2:$Q$149,MATCH($A52,emprunts!$A$2:$A$149,0))="6F"),1)</f>
        <v>1</v>
      </c>
      <c r="Q52">
        <f t="shared" si="0"/>
        <v>1</v>
      </c>
      <c r="R52" s="5">
        <f>IF(W52="",INDEX(emprunts!$K$2:$K$149,MATCH($B52,emprunts!$A$2:$A$149,0)),W52)</f>
        <v>38805</v>
      </c>
    </row>
    <row r="53" spans="1:18">
      <c r="A53" s="1" t="s">
        <v>193</v>
      </c>
      <c r="B53" s="1" t="s">
        <v>215</v>
      </c>
      <c r="C53" s="57">
        <v>3466000</v>
      </c>
      <c r="F53" s="57">
        <f>SUMPRODUCT((emprunts!$A$2:$A$149=$B53)*emprunts!F$2:F$149)</f>
        <v>0</v>
      </c>
      <c r="G53" s="5">
        <f>IF(L53="",INDEX(emprunts!$M$2:$M$149,MATCH(B53,emprunts!$A$2:$A$149,0)),L53)</f>
        <v>38991</v>
      </c>
      <c r="H53" s="57">
        <f>IFERROR(1-(INDEX(emprunts!$Q$2:$Q$149,MATCH($A53,emprunts!$A$2:$A$149,0))="1A"),"")</f>
        <v>1</v>
      </c>
      <c r="I53">
        <f t="shared" si="1"/>
        <v>2006</v>
      </c>
      <c r="J53">
        <f>1*(INDEX(emprunts!$H$2:$H$149,MATCH($B53,emprunts!$A$2:$A$149,0))&gt;1)</f>
        <v>0</v>
      </c>
      <c r="K53" s="80">
        <f>SUMPRODUCT((annee=$I53)*(emprunts_annees!$A$123:$A$1367=$A53),emprunts_annees!$X$123:$X$1367)-SUMPRODUCT((De=$A53)*(année_refi=$I53)*Montant_transfere)</f>
        <v>0</v>
      </c>
      <c r="L53" s="80"/>
      <c r="O53" s="57">
        <f>IFERROR(0+(INDEX(emprunts!$Q$2:$Q$149,MATCH($B53,emprunts!$A$2:$A$149,0))="6F"),1)</f>
        <v>1</v>
      </c>
      <c r="P53" s="57">
        <f>IFERROR(0+(INDEX(emprunts!$Q$2:$Q$149,MATCH($A53,emprunts!$A$2:$A$149,0))="6F"),1)</f>
        <v>0</v>
      </c>
      <c r="Q53">
        <f t="shared" si="0"/>
        <v>0</v>
      </c>
      <c r="R53" s="5">
        <f>IF(W53="",INDEX(emprunts!$K$2:$K$149,MATCH($B53,emprunts!$A$2:$A$149,0)),W53)</f>
        <v>38805</v>
      </c>
    </row>
    <row r="54" spans="1:18">
      <c r="A54" s="1" t="s">
        <v>193</v>
      </c>
      <c r="B54" s="1" t="s">
        <v>217</v>
      </c>
      <c r="C54" s="57">
        <v>3488000</v>
      </c>
      <c r="F54" s="57">
        <f>SUMPRODUCT((emprunts!$A$2:$A$149=$B54)*emprunts!F$2:F$149)</f>
        <v>0</v>
      </c>
      <c r="G54" s="5">
        <f>IF(L54="",INDEX(emprunts!$M$2:$M$149,MATCH(B54,emprunts!$A$2:$A$149,0)),L54)</f>
        <v>38991</v>
      </c>
      <c r="H54" s="57">
        <f>IFERROR(1-(INDEX(emprunts!$Q$2:$Q$149,MATCH($A54,emprunts!$A$2:$A$149,0))="1A"),"")</f>
        <v>1</v>
      </c>
      <c r="I54">
        <f t="shared" si="1"/>
        <v>2006</v>
      </c>
      <c r="J54">
        <f>1*(INDEX(emprunts!$H$2:$H$149,MATCH($B54,emprunts!$A$2:$A$149,0))&gt;1)</f>
        <v>0</v>
      </c>
      <c r="K54" s="80">
        <f>SUMPRODUCT((annee=$I54)*(emprunts_annees!$A$123:$A$1367=$A54),emprunts_annees!$X$123:$X$1367)-SUMPRODUCT((De=$A54)*(année_refi=$I54)*Montant_transfere)</f>
        <v>0</v>
      </c>
      <c r="L54" s="80"/>
      <c r="O54" s="57">
        <f>IFERROR(0+(INDEX(emprunts!$Q$2:$Q$149,MATCH($B54,emprunts!$A$2:$A$149,0))="6F"),1)</f>
        <v>1</v>
      </c>
      <c r="P54" s="57">
        <f>IFERROR(0+(INDEX(emprunts!$Q$2:$Q$149,MATCH($A54,emprunts!$A$2:$A$149,0))="6F"),1)</f>
        <v>0</v>
      </c>
      <c r="Q54">
        <f t="shared" si="0"/>
        <v>0</v>
      </c>
      <c r="R54" s="5">
        <f>IF(W54="",INDEX(emprunts!$K$2:$K$149,MATCH($B54,emprunts!$A$2:$A$149,0)),W54)</f>
        <v>38805</v>
      </c>
    </row>
    <row r="55" spans="1:18">
      <c r="A55" s="1" t="s">
        <v>215</v>
      </c>
      <c r="B55" s="1" t="s">
        <v>269</v>
      </c>
      <c r="C55" s="57">
        <v>10811000</v>
      </c>
      <c r="F55" s="57">
        <f>SUMPRODUCT((emprunts!$A$2:$A$149=$B55)*emprunts!F$2:F$149)</f>
        <v>0</v>
      </c>
      <c r="G55" s="5">
        <f>IF(L55="",INDEX(emprunts!$M$2:$M$149,MATCH(B55,emprunts!$A$2:$A$149,0)),L55)</f>
        <v>40087</v>
      </c>
      <c r="H55" s="57">
        <f>IFERROR(1-(INDEX(emprunts!$Q$2:$Q$149,MATCH($A55,emprunts!$A$2:$A$149,0))="1A"),"")</f>
        <v>1</v>
      </c>
      <c r="I55">
        <f t="shared" si="1"/>
        <v>2009</v>
      </c>
      <c r="J55">
        <f>1*(INDEX(emprunts!$H$2:$H$149,MATCH($B55,emprunts!$A$2:$A$149,0))&gt;1)</f>
        <v>0</v>
      </c>
      <c r="K55" s="80">
        <f>SUMPRODUCT((annee=$I55)*(emprunts_annees!$A$123:$A$1367=$A55),emprunts_annees!$X$123:$X$1367)-SUMPRODUCT((De=$A55)*(année_refi=$I55)*Montant_transfere)</f>
        <v>0</v>
      </c>
      <c r="L55" s="80"/>
      <c r="O55" s="57">
        <f>IFERROR(0+(INDEX(emprunts!$Q$2:$Q$149,MATCH($B55,emprunts!$A$2:$A$149,0))="6F"),1)</f>
        <v>1</v>
      </c>
      <c r="P55" s="57">
        <f>IFERROR(0+(INDEX(emprunts!$Q$2:$Q$149,MATCH($A55,emprunts!$A$2:$A$149,0))="6F"),1)</f>
        <v>1</v>
      </c>
      <c r="Q55">
        <f t="shared" si="0"/>
        <v>1</v>
      </c>
      <c r="R55" s="5">
        <f>IF(W55="",INDEX(emprunts!$K$2:$K$149,MATCH($B55,emprunts!$A$2:$A$149,0)),W55)</f>
        <v>40022</v>
      </c>
    </row>
    <row r="56" spans="1:18">
      <c r="A56" s="1" t="s">
        <v>269</v>
      </c>
      <c r="B56" s="1" t="s">
        <v>306</v>
      </c>
      <c r="C56" s="57">
        <v>10354000</v>
      </c>
      <c r="F56" s="57">
        <f>SUMPRODUCT((emprunts!$A$2:$A$149=$B56)*emprunts!F$2:F$149)</f>
        <v>0</v>
      </c>
      <c r="G56" s="5">
        <f>IF(L56="",INDEX(emprunts!$M$2:$M$149,MATCH(B56,emprunts!$A$2:$A$149,0)),L56)</f>
        <v>40452</v>
      </c>
      <c r="H56" s="57">
        <f>IFERROR(1-(INDEX(emprunts!$Q$2:$Q$149,MATCH($A56,emprunts!$A$2:$A$149,0))="1A"),"")</f>
        <v>1</v>
      </c>
      <c r="I56">
        <f t="shared" si="1"/>
        <v>2010</v>
      </c>
      <c r="J56">
        <f>1*(INDEX(emprunts!$H$2:$H$149,MATCH($B56,emprunts!$A$2:$A$149,0))&gt;1)</f>
        <v>0</v>
      </c>
      <c r="K56" s="80">
        <f>SUMPRODUCT((annee=$I56)*(emprunts_annees!$A$123:$A$1367=$A56),emprunts_annees!$X$123:$X$1367)-SUMPRODUCT((De=$A56)*(année_refi=$I56)*Montant_transfere)</f>
        <v>0</v>
      </c>
      <c r="L56" s="80"/>
      <c r="O56" s="57">
        <f>IFERROR(0+(INDEX(emprunts!$Q$2:$Q$149,MATCH($B56,emprunts!$A$2:$A$149,0))="6F"),1)</f>
        <v>1</v>
      </c>
      <c r="P56" s="57">
        <f>IFERROR(0+(INDEX(emprunts!$Q$2:$Q$149,MATCH($A56,emprunts!$A$2:$A$149,0))="6F"),1)</f>
        <v>1</v>
      </c>
      <c r="Q56">
        <f t="shared" si="0"/>
        <v>1</v>
      </c>
      <c r="R56" s="5">
        <f>IF(W56="",INDEX(emprunts!$K$2:$K$149,MATCH($B56,emprunts!$A$2:$A$149,0)),W56)</f>
        <v>40464</v>
      </c>
    </row>
    <row r="57" spans="1:18">
      <c r="A57" s="1" t="s">
        <v>306</v>
      </c>
      <c r="B57" s="1" t="s">
        <v>531</v>
      </c>
      <c r="C57" s="57">
        <v>9874000</v>
      </c>
      <c r="D57" s="57">
        <v>2950000</v>
      </c>
      <c r="F57" s="57">
        <f>SUMPRODUCT((emprunts!$A$2:$A$149=$B57)*emprunts!F$2:F$149)</f>
        <v>2950000</v>
      </c>
      <c r="G57" s="5">
        <f>IF(L57="",INDEX(emprunts!$M$2:$M$149,MATCH(B57,emprunts!$A$2:$A$149,0)),L57)</f>
        <v>41030</v>
      </c>
      <c r="H57" s="57">
        <f>IFERROR(1-(INDEX(emprunts!$Q$2:$Q$149,MATCH($A57,emprunts!$A$2:$A$149,0))="1A"),"")</f>
        <v>1</v>
      </c>
      <c r="I57">
        <f t="shared" si="1"/>
        <v>2012</v>
      </c>
      <c r="J57">
        <f>1*(INDEX(emprunts!$H$2:$H$149,MATCH($B57,emprunts!$A$2:$A$149,0))&gt;1)</f>
        <v>0</v>
      </c>
      <c r="K57" s="80">
        <f>SUMPRODUCT((annee=$I57)*(emprunts_annees!$A$123:$A$1367=$A57),emprunts_annees!$X$123:$X$1367)-SUMPRODUCT((De=$A57)*(année_refi=$I57)*Montant_transfere)</f>
        <v>0</v>
      </c>
      <c r="L57" s="80"/>
      <c r="M57" t="s">
        <v>682</v>
      </c>
      <c r="O57" s="57">
        <f>IFERROR(0+(INDEX(emprunts!$Q$2:$Q$149,MATCH($B57,emprunts!$A$2:$A$149,0))="6F"),1)</f>
        <v>0</v>
      </c>
      <c r="P57" s="57">
        <f>IFERROR(0+(INDEX(emprunts!$Q$2:$Q$149,MATCH($A57,emprunts!$A$2:$A$149,0))="6F"),1)</f>
        <v>1</v>
      </c>
      <c r="Q57">
        <f t="shared" si="0"/>
        <v>0</v>
      </c>
      <c r="R57" s="5">
        <f>IF(W57="",INDEX(emprunts!$K$2:$K$149,MATCH($B57,emprunts!$A$2:$A$149,0)),W57)</f>
        <v>41065</v>
      </c>
    </row>
    <row r="58" spans="1:18">
      <c r="A58" s="1" t="s">
        <v>217</v>
      </c>
      <c r="B58" s="1" t="s">
        <v>261</v>
      </c>
      <c r="C58" s="57">
        <v>11247000</v>
      </c>
      <c r="F58" s="57">
        <f>SUMPRODUCT((emprunts!$A$2:$A$149=$B58)*emprunts!F$2:F$149)</f>
        <v>0</v>
      </c>
      <c r="G58" s="5">
        <f>IF(L58="",INDEX(emprunts!$M$2:$M$149,MATCH(B58,emprunts!$A$2:$A$149,0)),L58)</f>
        <v>39783</v>
      </c>
      <c r="H58" s="57">
        <f>IFERROR(1-(INDEX(emprunts!$Q$2:$Q$149,MATCH($A58,emprunts!$A$2:$A$149,0))="1A"),"")</f>
        <v>1</v>
      </c>
      <c r="I58">
        <f t="shared" si="1"/>
        <v>2008</v>
      </c>
      <c r="J58">
        <f>1*(INDEX(emprunts!$H$2:$H$149,MATCH($B58,emprunts!$A$2:$A$149,0))&gt;1)</f>
        <v>0</v>
      </c>
      <c r="K58" s="80">
        <f>SUMPRODUCT((annee=$I58)*(emprunts_annees!$A$123:$A$1367=$A58),emprunts_annees!$X$123:$X$1367)-SUMPRODUCT((De=$A58)*(année_refi=$I58)*Montant_transfere)</f>
        <v>0</v>
      </c>
      <c r="L58" s="80"/>
      <c r="O58" s="57">
        <f>IFERROR(0+(INDEX(emprunts!$Q$2:$Q$149,MATCH($B58,emprunts!$A$2:$A$149,0))="6F"),1)</f>
        <v>1</v>
      </c>
      <c r="P58" s="57">
        <f>IFERROR(0+(INDEX(emprunts!$Q$2:$Q$149,MATCH($A58,emprunts!$A$2:$A$149,0))="6F"),1)</f>
        <v>1</v>
      </c>
      <c r="Q58">
        <f t="shared" si="0"/>
        <v>1</v>
      </c>
      <c r="R58" s="5">
        <f>IF(W58="",INDEX(emprunts!$K$2:$K$149,MATCH($B58,emprunts!$A$2:$A$149,0)),W58)</f>
        <v>39779</v>
      </c>
    </row>
    <row r="59" spans="1:18">
      <c r="A59" s="1" t="s">
        <v>261</v>
      </c>
      <c r="B59" s="1" t="s">
        <v>311</v>
      </c>
      <c r="C59" s="57">
        <v>10354000</v>
      </c>
      <c r="F59" s="57">
        <f>SUMPRODUCT((emprunts!$A$2:$A$149=$B59)*emprunts!F$2:F$149)</f>
        <v>0</v>
      </c>
      <c r="G59" s="5">
        <f>IF(L59="",INDEX(emprunts!$M$2:$M$149,MATCH(B59,emprunts!$A$2:$A$149,0)),L59)</f>
        <v>40513</v>
      </c>
      <c r="H59" s="57">
        <f>IFERROR(1-(INDEX(emprunts!$Q$2:$Q$149,MATCH($A59,emprunts!$A$2:$A$149,0))="1A"),"")</f>
        <v>1</v>
      </c>
      <c r="I59">
        <f t="shared" si="1"/>
        <v>2010</v>
      </c>
      <c r="J59">
        <f>1*(INDEX(emprunts!$H$2:$H$149,MATCH($B59,emprunts!$A$2:$A$149,0))&gt;1)</f>
        <v>0</v>
      </c>
      <c r="K59" s="80">
        <f>SUMPRODUCT((annee=$I59)*(emprunts_annees!$A$123:$A$1367=$A59),emprunts_annees!$X$123:$X$1367)-SUMPRODUCT((De=$A59)*(année_refi=$I59)*Montant_transfere)</f>
        <v>0</v>
      </c>
      <c r="L59" s="80"/>
      <c r="O59" s="57">
        <f>IFERROR(0+(INDEX(emprunts!$Q$2:$Q$149,MATCH($B59,emprunts!$A$2:$A$149,0))="6F"),1)</f>
        <v>1</v>
      </c>
      <c r="P59" s="57">
        <f>IFERROR(0+(INDEX(emprunts!$Q$2:$Q$149,MATCH($A59,emprunts!$A$2:$A$149,0))="6F"),1)</f>
        <v>1</v>
      </c>
      <c r="Q59">
        <f t="shared" si="0"/>
        <v>1</v>
      </c>
      <c r="R59" s="5">
        <f>IF(W59="",INDEX(emprunts!$K$2:$K$149,MATCH($B59,emprunts!$A$2:$A$149,0)),W59)</f>
        <v>40505</v>
      </c>
    </row>
    <row r="60" spans="1:18">
      <c r="A60" s="1" t="s">
        <v>311</v>
      </c>
      <c r="B60" s="1" t="s">
        <v>336</v>
      </c>
      <c r="C60" s="57">
        <v>9954000</v>
      </c>
      <c r="F60" s="57">
        <f>SUMPRODUCT((emprunts!$A$2:$A$149=$B60)*emprunts!F$2:F$149)</f>
        <v>0</v>
      </c>
      <c r="G60" s="5">
        <f>IF(L60="",INDEX(emprunts!$M$2:$M$149,MATCH(B60,emprunts!$A$2:$A$149,0)),L60)</f>
        <v>40878</v>
      </c>
      <c r="H60" s="57">
        <f>IFERROR(1-(INDEX(emprunts!$Q$2:$Q$149,MATCH($A60,emprunts!$A$2:$A$149,0))="1A"),"")</f>
        <v>1</v>
      </c>
      <c r="I60">
        <f t="shared" si="1"/>
        <v>2011</v>
      </c>
      <c r="J60">
        <f>1*(INDEX(emprunts!$H$2:$H$149,MATCH($B60,emprunts!$A$2:$A$149,0))&gt;1)</f>
        <v>0</v>
      </c>
      <c r="K60" s="80">
        <f>SUMPRODUCT((annee=$I60)*(emprunts_annees!$A$123:$A$1367=$A60),emprunts_annees!$X$123:$X$1367)-SUMPRODUCT((De=$A60)*(année_refi=$I60)*Montant_transfere)</f>
        <v>0</v>
      </c>
      <c r="L60" s="80"/>
      <c r="O60" s="57">
        <f>IFERROR(0+(INDEX(emprunts!$Q$2:$Q$149,MATCH($B60,emprunts!$A$2:$A$149,0))="6F"),1)</f>
        <v>1</v>
      </c>
      <c r="P60" s="57">
        <f>IFERROR(0+(INDEX(emprunts!$Q$2:$Q$149,MATCH($A60,emprunts!$A$2:$A$149,0))="6F"),1)</f>
        <v>1</v>
      </c>
      <c r="Q60">
        <f t="shared" si="0"/>
        <v>1</v>
      </c>
      <c r="R60" s="5">
        <f>IF(W60="",INDEX(emprunts!$K$2:$K$149,MATCH($B60,emprunts!$A$2:$A$149,0)),W60)</f>
        <v>40885</v>
      </c>
    </row>
    <row r="61" spans="1:18">
      <c r="A61" s="1" t="s">
        <v>336</v>
      </c>
      <c r="B61" s="1" t="s">
        <v>493</v>
      </c>
      <c r="C61" s="57">
        <v>9600000</v>
      </c>
      <c r="F61" s="57">
        <f>SUMPRODUCT((emprunts!$A$2:$A$149=$B61)*emprunts!F$2:F$149)</f>
        <v>0</v>
      </c>
      <c r="G61" s="5">
        <f>IF(L61="",INDEX(emprunts!$M$2:$M$149,MATCH(B61,emprunts!$A$2:$A$149,0)),L61)</f>
        <v>41244</v>
      </c>
      <c r="H61" s="57">
        <f>IFERROR(1-(INDEX(emprunts!$Q$2:$Q$149,MATCH($A61,emprunts!$A$2:$A$149,0))="1A"),"")</f>
        <v>1</v>
      </c>
      <c r="I61">
        <f t="shared" si="1"/>
        <v>2012</v>
      </c>
      <c r="J61">
        <f>1*(INDEX(emprunts!$H$2:$H$149,MATCH($B61,emprunts!$A$2:$A$149,0))&gt;1)</f>
        <v>0</v>
      </c>
      <c r="K61" s="80">
        <f>SUMPRODUCT((annee=$I61)*(emprunts_annees!$A$123:$A$1367=$A61),emprunts_annees!$X$123:$X$1367)-SUMPRODUCT((De=$A61)*(année_refi=$I61)*Montant_transfere)</f>
        <v>0</v>
      </c>
      <c r="L61" s="80"/>
      <c r="O61" s="57">
        <f>IFERROR(0+(INDEX(emprunts!$Q$2:$Q$149,MATCH($B61,emprunts!$A$2:$A$149,0))="6F"),1)</f>
        <v>1</v>
      </c>
      <c r="P61" s="57">
        <f>IFERROR(0+(INDEX(emprunts!$Q$2:$Q$149,MATCH($A61,emprunts!$A$2:$A$149,0))="6F"),1)</f>
        <v>1</v>
      </c>
      <c r="Q61">
        <f t="shared" si="0"/>
        <v>1</v>
      </c>
      <c r="R61" s="5">
        <f>IF(W61="",INDEX(emprunts!$K$2:$K$149,MATCH($B61,emprunts!$A$2:$A$149,0)),W61)</f>
        <v>41242</v>
      </c>
    </row>
    <row r="62" spans="1:18">
      <c r="A62" s="1" t="s">
        <v>493</v>
      </c>
      <c r="B62" s="1" t="s">
        <v>494</v>
      </c>
      <c r="C62" s="57">
        <v>4929000</v>
      </c>
      <c r="D62" s="57">
        <v>4200000</v>
      </c>
      <c r="F62" s="57">
        <f>SUMPRODUCT((emprunts!$A$2:$A$149=$B62)*emprunts!F$2:F$149)</f>
        <v>4200000</v>
      </c>
      <c r="G62" s="5">
        <f>IF(L62="",INDEX(emprunts!$M$2:$M$149,MATCH(B62,emprunts!$A$2:$A$149,0)),L62)</f>
        <v>42675</v>
      </c>
      <c r="H62" s="57">
        <f>IFERROR(1-(INDEX(emprunts!$Q$2:$Q$149,MATCH($A62,emprunts!$A$2:$A$149,0))="1A"),"")</f>
        <v>1</v>
      </c>
      <c r="I62">
        <f t="shared" si="1"/>
        <v>2016</v>
      </c>
      <c r="J62">
        <f>1*(INDEX(emprunts!$H$2:$H$149,MATCH($B62,emprunts!$A$2:$A$149,0))&gt;1)</f>
        <v>1</v>
      </c>
      <c r="K62" s="80">
        <f>SUMPRODUCT((annee=$I62)*(emprunts_annees!$A$123:$A$1367=$A62),emprunts_annees!$X$123:$X$1367)-SUMPRODUCT((De=$A62)*(année_refi=$I62)*Montant_transfere)</f>
        <v>0</v>
      </c>
      <c r="L62" s="80"/>
      <c r="O62" s="57">
        <f>IFERROR(0+(INDEX(emprunts!$Q$2:$Q$149,MATCH($B62,emprunts!$A$2:$A$149,0))="6F"),1)</f>
        <v>0</v>
      </c>
      <c r="P62" s="57">
        <f>IFERROR(0+(INDEX(emprunts!$Q$2:$Q$149,MATCH($A62,emprunts!$A$2:$A$149,0))="6F"),1)</f>
        <v>1</v>
      </c>
      <c r="Q62">
        <f t="shared" si="0"/>
        <v>0</v>
      </c>
      <c r="R62" s="5">
        <f>IF(W62="",INDEX(emprunts!$K$2:$K$149,MATCH($B62,emprunts!$A$2:$A$149,0)),W62)</f>
        <v>42488</v>
      </c>
    </row>
    <row r="63" spans="1:18">
      <c r="A63" s="1" t="s">
        <v>493</v>
      </c>
      <c r="B63" s="1" t="s">
        <v>369</v>
      </c>
      <c r="C63" s="57">
        <v>3500000</v>
      </c>
      <c r="D63" s="57">
        <v>5500000</v>
      </c>
      <c r="F63" s="57">
        <f>SUMPRODUCT((emprunts!$A$2:$A$149=$B63)*emprunts!F$2:F$149)</f>
        <v>5500000</v>
      </c>
      <c r="G63" s="5">
        <f>IF(L63="",INDEX(emprunts!$M$2:$M$149,MATCH(B63,emprunts!$A$2:$A$149,0)),L63)</f>
        <v>42339</v>
      </c>
      <c r="H63" s="57">
        <f>IFERROR(1-(INDEX(emprunts!$Q$2:$Q$149,MATCH($A63,emprunts!$A$2:$A$149,0))="1A"),"")</f>
        <v>1</v>
      </c>
      <c r="I63">
        <f t="shared" si="1"/>
        <v>2015</v>
      </c>
      <c r="J63">
        <f>1*(INDEX(emprunts!$H$2:$H$149,MATCH($B63,emprunts!$A$2:$A$149,0))&gt;1)</f>
        <v>0</v>
      </c>
      <c r="K63" s="80">
        <f>SUMPRODUCT((annee=$I63)*(emprunts_annees!$A$123:$A$1367=$A63),emprunts_annees!$X$123:$X$1367)-SUMPRODUCT((De=$A63)*(année_refi=$I63)*Montant_transfere)</f>
        <v>0</v>
      </c>
      <c r="L63" s="80"/>
      <c r="O63" s="57">
        <f>IFERROR(0+(INDEX(emprunts!$Q$2:$Q$149,MATCH($B63,emprunts!$A$2:$A$149,0))="6F"),1)</f>
        <v>0</v>
      </c>
      <c r="P63" s="57">
        <f>IFERROR(0+(INDEX(emprunts!$Q$2:$Q$149,MATCH($A63,emprunts!$A$2:$A$149,0))="6F"),1)</f>
        <v>1</v>
      </c>
      <c r="Q63">
        <f t="shared" si="0"/>
        <v>0</v>
      </c>
      <c r="R63" s="5">
        <f>IF(W63="",INDEX(emprunts!$K$2:$K$149,MATCH($B63,emprunts!$A$2:$A$149,0)),W63)</f>
        <v>42334</v>
      </c>
    </row>
    <row r="64" spans="1:18">
      <c r="A64" s="1" t="s">
        <v>336</v>
      </c>
      <c r="B64" s="1" t="s">
        <v>495</v>
      </c>
      <c r="D64" s="57">
        <v>1380000</v>
      </c>
      <c r="F64" s="57">
        <f>SUMPRODUCT((emprunts!$A$2:$A$149=$B64)*emprunts!F$2:F$149)</f>
        <v>1450000</v>
      </c>
      <c r="G64" s="5">
        <f>IF(L64="",INDEX(emprunts!$M$2:$M$149,MATCH(B64,emprunts!$A$2:$A$149,0)),L64)</f>
        <v>41244</v>
      </c>
      <c r="H64" s="57">
        <f>IFERROR(1-(INDEX(emprunts!$Q$2:$Q$149,MATCH($A64,emprunts!$A$2:$A$149,0))="1A"),"")</f>
        <v>1</v>
      </c>
      <c r="I64">
        <f t="shared" si="1"/>
        <v>2012</v>
      </c>
      <c r="J64">
        <f>1*(INDEX(emprunts!$H$2:$H$149,MATCH($B64,emprunts!$A$2:$A$149,0))&gt;1)</f>
        <v>0</v>
      </c>
      <c r="K64" s="80">
        <f>SUMPRODUCT((annee=$I64)*(emprunts_annees!$A$123:$A$1367=$A64),emprunts_annees!$X$123:$X$1367)-SUMPRODUCT((De=$A64)*(année_refi=$I64)*Montant_transfere)</f>
        <v>0</v>
      </c>
      <c r="L64" s="80"/>
      <c r="O64" s="57">
        <f>IFERROR(0+(INDEX(emprunts!$Q$2:$Q$149,MATCH($B64,emprunts!$A$2:$A$149,0))="6F"),1)</f>
        <v>0</v>
      </c>
      <c r="P64" s="57">
        <f>IFERROR(0+(INDEX(emprunts!$Q$2:$Q$149,MATCH($A64,emprunts!$A$2:$A$149,0))="6F"),1)</f>
        <v>1</v>
      </c>
      <c r="Q64">
        <f t="shared" si="0"/>
        <v>0</v>
      </c>
      <c r="R64" s="5">
        <f>IF(W64="",INDEX(emprunts!$K$2:$K$149,MATCH($B64,emprunts!$A$2:$A$149,0)),W64)</f>
        <v>41242</v>
      </c>
    </row>
    <row r="65" spans="1:18">
      <c r="A65" s="1" t="s">
        <v>209</v>
      </c>
      <c r="B65" s="1" t="s">
        <v>248</v>
      </c>
      <c r="C65" s="57">
        <v>7375000</v>
      </c>
      <c r="F65" s="57">
        <f>SUMPRODUCT((emprunts!$A$2:$A$149=$B65)*emprunts!F$2:F$149)</f>
        <v>0</v>
      </c>
      <c r="G65" s="5">
        <f>IF(L65="",INDEX(emprunts!$M$2:$M$149,MATCH(B65,emprunts!$A$2:$A$149,0)),L65)</f>
        <v>39539</v>
      </c>
      <c r="H65" s="57">
        <f>IFERROR(1-(INDEX(emprunts!$Q$2:$Q$149,MATCH($A65,emprunts!$A$2:$A$149,0))="1A"),"")</f>
        <v>0</v>
      </c>
      <c r="I65">
        <f t="shared" si="1"/>
        <v>2008</v>
      </c>
      <c r="J65">
        <f>1*(INDEX(emprunts!$H$2:$H$149,MATCH($B65,emprunts!$A$2:$A$149,0))&gt;1)</f>
        <v>0</v>
      </c>
      <c r="K65" s="80">
        <f>SUMPRODUCT((annee=$I65)*(emprunts_annees!$A$123:$A$1367=$A65),emprunts_annees!$X$123:$X$1367)-SUMPRODUCT((De=$A65)*(année_refi=$I65)*Montant_transfere)</f>
        <v>0</v>
      </c>
      <c r="L65" s="80"/>
      <c r="O65" s="57">
        <f>IFERROR(0+(INDEX(emprunts!$Q$2:$Q$149,MATCH($B65,emprunts!$A$2:$A$149,0))="6F"),1)</f>
        <v>1</v>
      </c>
      <c r="P65" s="57">
        <f>IFERROR(0+(INDEX(emprunts!$Q$2:$Q$149,MATCH($A65,emprunts!$A$2:$A$149,0))="6F"),1)</f>
        <v>0</v>
      </c>
      <c r="Q65">
        <f t="shared" si="0"/>
        <v>0</v>
      </c>
      <c r="R65" s="5">
        <f>IF(W65="",INDEX(emprunts!$K$2:$K$149,MATCH($B65,emprunts!$A$2:$A$149,0)),W65)</f>
        <v>39352</v>
      </c>
    </row>
    <row r="66" spans="1:18">
      <c r="A66" s="1" t="s">
        <v>248</v>
      </c>
      <c r="B66" s="1" t="s">
        <v>263</v>
      </c>
      <c r="C66" s="57">
        <v>9000000</v>
      </c>
      <c r="F66" s="57">
        <f>SUMPRODUCT((emprunts!$A$2:$A$149=$B66)*emprunts!F$2:F$149)</f>
        <v>0</v>
      </c>
      <c r="G66" s="5">
        <f>IF(L66="",INDEX(emprunts!$M$2:$M$149,MATCH(B66,emprunts!$A$2:$A$149,0)),L66)</f>
        <v>39783</v>
      </c>
      <c r="H66" s="57">
        <f>IFERROR(1-(INDEX(emprunts!$Q$2:$Q$149,MATCH($A66,emprunts!$A$2:$A$149,0))="1A"),"")</f>
        <v>1</v>
      </c>
      <c r="I66">
        <f t="shared" si="1"/>
        <v>2008</v>
      </c>
      <c r="J66">
        <f>1*(INDEX(emprunts!$H$2:$H$149,MATCH($B66,emprunts!$A$2:$A$149,0))&gt;1)</f>
        <v>0</v>
      </c>
      <c r="K66" s="80">
        <f>SUMPRODUCT((annee=$I66)*(emprunts_annees!$A$123:$A$1367=$A66),emprunts_annees!$X$123:$X$1367)-SUMPRODUCT((De=$A66)*(année_refi=$I66)*Montant_transfere)</f>
        <v>0</v>
      </c>
      <c r="L66" s="80"/>
      <c r="O66" s="57">
        <f>IFERROR(0+(INDEX(emprunts!$Q$2:$Q$149,MATCH($B66,emprunts!$A$2:$A$149,0))="6F"),1)</f>
        <v>0</v>
      </c>
      <c r="P66" s="57">
        <f>IFERROR(0+(INDEX(emprunts!$Q$2:$Q$149,MATCH($A66,emprunts!$A$2:$A$149,0))="6F"),1)</f>
        <v>1</v>
      </c>
      <c r="Q66">
        <f t="shared" si="0"/>
        <v>0</v>
      </c>
      <c r="R66" s="5">
        <f>IF(W66="",INDEX(emprunts!$K$2:$K$149,MATCH($B66,emprunts!$A$2:$A$149,0)),W66)</f>
        <v>39779</v>
      </c>
    </row>
    <row r="67" spans="1:18">
      <c r="A67" s="1" t="s">
        <v>272</v>
      </c>
      <c r="B67" s="1" t="s">
        <v>338</v>
      </c>
      <c r="C67" s="57">
        <v>4825730</v>
      </c>
      <c r="F67" s="57">
        <f>SUMPRODUCT((emprunts!$A$2:$A$149=$B67)*emprunts!F$2:F$149)</f>
        <v>0</v>
      </c>
      <c r="G67" s="5">
        <f>IF(L67="",INDEX(emprunts!$M$2:$M$149,MATCH(B67,emprunts!$A$2:$A$149,0)),L67)</f>
        <v>40878</v>
      </c>
      <c r="H67" s="57">
        <f>IFERROR(1-(INDEX(emprunts!$Q$2:$Q$149,MATCH($A67,emprunts!$A$2:$A$149,0))="1A"),"")</f>
        <v>0</v>
      </c>
      <c r="I67">
        <f t="shared" si="1"/>
        <v>2011</v>
      </c>
      <c r="J67">
        <f>1*(INDEX(emprunts!$H$2:$H$149,MATCH($B67,emprunts!$A$2:$A$149,0))&gt;1)</f>
        <v>0</v>
      </c>
      <c r="K67" s="80">
        <f>SUMPRODUCT((annee=$I67)*(emprunts_annees!$A$123:$A$1367=$A67),emprunts_annees!$X$123:$X$1367)-SUMPRODUCT((De=$A67)*(année_refi=$I67)*Montant_transfere)</f>
        <v>0</v>
      </c>
      <c r="L67" s="80"/>
      <c r="M67" t="s">
        <v>579</v>
      </c>
      <c r="O67" s="57">
        <f>IFERROR(0+(INDEX(emprunts!$Q$2:$Q$149,MATCH($B67,emprunts!$A$2:$A$149,0))="6F"),1)</f>
        <v>0</v>
      </c>
      <c r="P67" s="57">
        <f>IFERROR(0+(INDEX(emprunts!$Q$2:$Q$149,MATCH($A67,emprunts!$A$2:$A$149,0))="6F"),1)</f>
        <v>0</v>
      </c>
      <c r="Q67">
        <f t="shared" ref="Q67:Q105" si="2">O67*P67</f>
        <v>0</v>
      </c>
      <c r="R67" s="5">
        <f>IF(W67="",INDEX(emprunts!$K$2:$K$149,MATCH($B67,emprunts!$A$2:$A$149,0)),W67)</f>
        <v>40863</v>
      </c>
    </row>
    <row r="68" spans="1:18">
      <c r="A68" s="1" t="s">
        <v>263</v>
      </c>
      <c r="B68" s="1" t="s">
        <v>495</v>
      </c>
      <c r="C68" s="57">
        <v>6841000</v>
      </c>
      <c r="D68" s="57">
        <v>70000</v>
      </c>
      <c r="F68" s="57">
        <f>SUMPRODUCT((emprunts!$A$2:$A$149=$B68)*emprunts!F$2:F$149)</f>
        <v>1450000</v>
      </c>
      <c r="G68" s="5">
        <f>IF(L68="",INDEX(emprunts!$M$2:$M$149,MATCH(B68,emprunts!$A$2:$A$149,0)),L68)</f>
        <v>41244</v>
      </c>
      <c r="H68" s="57">
        <f>IFERROR(1-(INDEX(emprunts!$Q$2:$Q$149,MATCH($A68,emprunts!$A$2:$A$149,0))="1A"),"")</f>
        <v>1</v>
      </c>
      <c r="I68">
        <f t="shared" si="1"/>
        <v>2012</v>
      </c>
      <c r="J68">
        <f>1*(INDEX(emprunts!$H$2:$H$149,MATCH($B68,emprunts!$A$2:$A$149,0))&gt;1)</f>
        <v>0</v>
      </c>
      <c r="K68" s="80">
        <f>SUMPRODUCT((annee=$I68)*(emprunts_annees!$A$123:$A$1367=$A68),emprunts_annees!$X$123:$X$1367)-SUMPRODUCT((De=$A68)*(année_refi=$I68)*Montant_transfere)</f>
        <v>0</v>
      </c>
      <c r="L68" s="80"/>
      <c r="O68" s="57">
        <f>IFERROR(0+(INDEX(emprunts!$Q$2:$Q$149,MATCH($B68,emprunts!$A$2:$A$149,0))="6F"),1)</f>
        <v>0</v>
      </c>
      <c r="P68" s="57">
        <f>IFERROR(0+(INDEX(emprunts!$Q$2:$Q$149,MATCH($A68,emprunts!$A$2:$A$149,0))="6F"),1)</f>
        <v>0</v>
      </c>
      <c r="Q68">
        <f t="shared" si="2"/>
        <v>0</v>
      </c>
      <c r="R68" s="5">
        <f>IF(W68="",INDEX(emprunts!$K$2:$K$149,MATCH($B68,emprunts!$A$2:$A$149,0)),W68)</f>
        <v>41242</v>
      </c>
    </row>
    <row r="69" spans="1:18">
      <c r="A69" s="1" t="s">
        <v>22</v>
      </c>
      <c r="B69" s="1" t="s">
        <v>199</v>
      </c>
      <c r="C69" s="57">
        <v>2401000</v>
      </c>
      <c r="F69" s="57">
        <f>SUMPRODUCT((emprunts!$A$2:$A$149=$B69)*emprunts!F$2:F$149)</f>
        <v>0</v>
      </c>
      <c r="G69" s="5">
        <f>IF(L69="",INDEX(emprunts!$M$2:$M$149,MATCH(B69,emprunts!$A$2:$A$149,0)),L69)</f>
        <v>38777</v>
      </c>
      <c r="H69" s="57">
        <f>IFERROR(1-(INDEX(emprunts!$Q$2:$Q$149,MATCH($A69,emprunts!$A$2:$A$149,0))="1A"),"")</f>
        <v>1</v>
      </c>
      <c r="I69">
        <f t="shared" ref="I69:I105" si="3">YEAR(G69)</f>
        <v>2006</v>
      </c>
      <c r="J69">
        <f>1*(INDEX(emprunts!$H$2:$H$149,MATCH($B69,emprunts!$A$2:$A$149,0))&gt;1)</f>
        <v>0</v>
      </c>
      <c r="K69" s="80">
        <f>SUMPRODUCT((annee=$I69)*(emprunts_annees!$A$123:$A$1367=$A69),emprunts_annees!$X$123:$X$1367)-SUMPRODUCT((De=$A69)*(année_refi=$I69)*Montant_transfere)</f>
        <v>0</v>
      </c>
      <c r="L69" s="80"/>
      <c r="O69" s="57">
        <f>IFERROR(0+(INDEX(emprunts!$Q$2:$Q$149,MATCH($B69,emprunts!$A$2:$A$149,0))="6F"),1)</f>
        <v>1</v>
      </c>
      <c r="P69" s="57">
        <f>IFERROR(0+(INDEX(emprunts!$Q$2:$Q$149,MATCH($A69,emprunts!$A$2:$A$149,0))="6F"),1)</f>
        <v>0</v>
      </c>
      <c r="Q69">
        <f t="shared" si="2"/>
        <v>0</v>
      </c>
      <c r="R69" s="5">
        <f>IF(W69="",INDEX(emprunts!$K$2:$K$149,MATCH($B69,emprunts!$A$2:$A$149,0)),W69)</f>
        <v>38679</v>
      </c>
    </row>
    <row r="70" spans="1:18">
      <c r="A70" s="1" t="s">
        <v>51</v>
      </c>
      <c r="B70" s="1" t="s">
        <v>108</v>
      </c>
      <c r="C70" s="57">
        <v>3917000</v>
      </c>
      <c r="F70" s="57">
        <f>SUMPRODUCT((emprunts!$A$2:$A$149=$B70)*emprunts!F$2:F$149)</f>
        <v>0</v>
      </c>
      <c r="G70" s="5">
        <f>IF(L70="",INDEX(emprunts!$M$2:$M$149,MATCH(B70,emprunts!$A$2:$A$149,0)),L70)</f>
        <v>38193</v>
      </c>
      <c r="H70" s="57">
        <f>IFERROR(1-(INDEX(emprunts!$Q$2:$Q$149,MATCH($A70,emprunts!$A$2:$A$149,0))="1A"),"")</f>
        <v>1</v>
      </c>
      <c r="I70">
        <f t="shared" si="3"/>
        <v>2004</v>
      </c>
      <c r="J70">
        <f>1*(INDEX(emprunts!$H$2:$H$149,MATCH($B70,emprunts!$A$2:$A$149,0))&gt;1)</f>
        <v>0</v>
      </c>
      <c r="K70" s="80">
        <f>SUMPRODUCT((annee=$I70)*(emprunts_annees!$A$123:$A$1367=$A70),emprunts_annees!$X$123:$X$1367)-SUMPRODUCT((De=$A70)*(année_refi=$I70)*Montant_transfere)</f>
        <v>0</v>
      </c>
      <c r="L70" s="80"/>
      <c r="O70" s="57">
        <f>IFERROR(0+(INDEX(emprunts!$Q$2:$Q$149,MATCH($B70,emprunts!$A$2:$A$149,0))="6F"),1)</f>
        <v>0</v>
      </c>
      <c r="P70" s="57">
        <f>IFERROR(0+(INDEX(emprunts!$Q$2:$Q$149,MATCH($A70,emprunts!$A$2:$A$149,0))="6F"),1)</f>
        <v>0</v>
      </c>
      <c r="Q70">
        <f t="shared" si="2"/>
        <v>0</v>
      </c>
      <c r="R70" s="5">
        <f>IF(W70="",INDEX(emprunts!$K$2:$K$149,MATCH($B70,emprunts!$A$2:$A$149,0)),W70)</f>
        <v>38188</v>
      </c>
    </row>
    <row r="71" spans="1:18">
      <c r="A71" s="1" t="s">
        <v>57</v>
      </c>
      <c r="B71" s="1" t="s">
        <v>108</v>
      </c>
      <c r="C71" s="57">
        <v>2850000</v>
      </c>
      <c r="F71" s="57">
        <f>SUMPRODUCT((emprunts!$A$2:$A$149=$B71)*emprunts!F$2:F$149)</f>
        <v>0</v>
      </c>
      <c r="G71" s="5">
        <f>IF(L71="",INDEX(emprunts!$M$2:$M$149,MATCH(B71,emprunts!$A$2:$A$149,0)),L71)</f>
        <v>38193</v>
      </c>
      <c r="H71" s="57">
        <f>IFERROR(1-(INDEX(emprunts!$Q$2:$Q$149,MATCH($A71,emprunts!$A$2:$A$149,0))="1A"),"")</f>
        <v>0</v>
      </c>
      <c r="I71">
        <f t="shared" si="3"/>
        <v>2004</v>
      </c>
      <c r="J71">
        <f>1*(INDEX(emprunts!$H$2:$H$149,MATCH($B71,emprunts!$A$2:$A$149,0))&gt;1)</f>
        <v>0</v>
      </c>
      <c r="K71" s="80">
        <f>SUMPRODUCT((annee=$I71)*(emprunts_annees!$A$123:$A$1367=$A71),emprunts_annees!$X$123:$X$1367)-SUMPRODUCT((De=$A71)*(année_refi=$I71)*Montant_transfere)</f>
        <v>0</v>
      </c>
      <c r="L71" s="80"/>
      <c r="O71" s="57">
        <f>IFERROR(0+(INDEX(emprunts!$Q$2:$Q$149,MATCH($B71,emprunts!$A$2:$A$149,0))="6F"),1)</f>
        <v>0</v>
      </c>
      <c r="P71" s="57">
        <f>IFERROR(0+(INDEX(emprunts!$Q$2:$Q$149,MATCH($A71,emprunts!$A$2:$A$149,0))="6F"),1)</f>
        <v>0</v>
      </c>
      <c r="Q71">
        <f t="shared" si="2"/>
        <v>0</v>
      </c>
      <c r="R71" s="5">
        <f>IF(W71="",INDEX(emprunts!$K$2:$K$149,MATCH($B71,emprunts!$A$2:$A$149,0)),W71)</f>
        <v>38188</v>
      </c>
    </row>
    <row r="72" spans="1:18">
      <c r="A72" s="1" t="s">
        <v>496</v>
      </c>
      <c r="B72" s="1" t="s">
        <v>108</v>
      </c>
      <c r="C72" s="57">
        <v>4063000</v>
      </c>
      <c r="F72" s="57">
        <f>SUMPRODUCT((emprunts!$A$2:$A$149=$B72)*emprunts!F$2:F$149)</f>
        <v>0</v>
      </c>
      <c r="G72" s="5">
        <f>IF(L72="",INDEX(emprunts!$M$2:$M$149,MATCH(B72,emprunts!$A$2:$A$149,0)),L72)</f>
        <v>38193</v>
      </c>
      <c r="H72" s="57">
        <f>IFERROR(1-(INDEX(emprunts!$Q$2:$Q$149,MATCH($A72,emprunts!$A$2:$A$149,0))="1A"),"")</f>
        <v>0</v>
      </c>
      <c r="I72">
        <f t="shared" si="3"/>
        <v>2004</v>
      </c>
      <c r="J72">
        <f>1*(INDEX(emprunts!$H$2:$H$149,MATCH($B72,emprunts!$A$2:$A$149,0))&gt;1)</f>
        <v>0</v>
      </c>
      <c r="K72" s="80">
        <f>SUMPRODUCT((annee=$I72)*(emprunts_annees!$A$123:$A$1367=$A72),emprunts_annees!$X$123:$X$1367)-SUMPRODUCT((De=$A72)*(année_refi=$I72)*Montant_transfere)</f>
        <v>-4063000</v>
      </c>
      <c r="L72" s="80"/>
      <c r="O72" s="57">
        <f>IFERROR(0+(INDEX(emprunts!$Q$2:$Q$149,MATCH($B72,emprunts!$A$2:$A$149,0))="6F"),1)</f>
        <v>0</v>
      </c>
      <c r="P72" s="57">
        <f>IFERROR(0+(INDEX(emprunts!$Q$2:$Q$149,MATCH($A72,emprunts!$A$2:$A$149,0))="6F"),1)</f>
        <v>0</v>
      </c>
      <c r="Q72">
        <f t="shared" si="2"/>
        <v>0</v>
      </c>
      <c r="R72" s="5">
        <f>IF(W72="",INDEX(emprunts!$K$2:$K$149,MATCH($B72,emprunts!$A$2:$A$149,0)),W72)</f>
        <v>38188</v>
      </c>
    </row>
    <row r="73" spans="1:18">
      <c r="A73" s="1" t="s">
        <v>108</v>
      </c>
      <c r="B73" s="1" t="s">
        <v>199</v>
      </c>
      <c r="C73" s="57">
        <v>8844000</v>
      </c>
      <c r="F73" s="57">
        <f>SUMPRODUCT((emprunts!$A$2:$A$149=$B73)*emprunts!F$2:F$149)</f>
        <v>0</v>
      </c>
      <c r="G73" s="5">
        <f>IF(L73="",INDEX(emprunts!$M$2:$M$149,MATCH(B73,emprunts!$A$2:$A$149,0)),L73)</f>
        <v>38777</v>
      </c>
      <c r="H73" s="57">
        <f>IFERROR(1-(INDEX(emprunts!$Q$2:$Q$149,MATCH($A73,emprunts!$A$2:$A$149,0))="1A"),"")</f>
        <v>1</v>
      </c>
      <c r="I73">
        <f t="shared" si="3"/>
        <v>2006</v>
      </c>
      <c r="J73">
        <f>1*(INDEX(emprunts!$H$2:$H$149,MATCH($B73,emprunts!$A$2:$A$149,0))&gt;1)</f>
        <v>0</v>
      </c>
      <c r="K73" s="80">
        <f>SUMPRODUCT((annee=$I73)*(emprunts_annees!$A$123:$A$1367=$A73),emprunts_annees!$X$123:$X$1367)-SUMPRODUCT((De=$A73)*(année_refi=$I73)*Montant_transfere)</f>
        <v>0</v>
      </c>
      <c r="L73" s="80"/>
      <c r="O73" s="57">
        <f>IFERROR(0+(INDEX(emprunts!$Q$2:$Q$149,MATCH($B73,emprunts!$A$2:$A$149,0))="6F"),1)</f>
        <v>1</v>
      </c>
      <c r="P73" s="57">
        <f>IFERROR(0+(INDEX(emprunts!$Q$2:$Q$149,MATCH($A73,emprunts!$A$2:$A$149,0))="6F"),1)</f>
        <v>0</v>
      </c>
      <c r="Q73">
        <f t="shared" si="2"/>
        <v>0</v>
      </c>
      <c r="R73" s="5">
        <f>IF(W73="",INDEX(emprunts!$K$2:$K$149,MATCH($B73,emprunts!$A$2:$A$149,0)),W73)</f>
        <v>38679</v>
      </c>
    </row>
    <row r="74" spans="1:18">
      <c r="A74" s="1" t="s">
        <v>199</v>
      </c>
      <c r="B74" s="1" t="s">
        <v>300</v>
      </c>
      <c r="C74" s="57">
        <v>7231000</v>
      </c>
      <c r="F74" s="57">
        <f>SUMPRODUCT((emprunts!$A$2:$A$149=$B74)*emprunts!F$2:F$149)</f>
        <v>0</v>
      </c>
      <c r="G74" s="5">
        <f>IF(L74="",INDEX(emprunts!$M$2:$M$149,MATCH(B74,emprunts!$A$2:$A$149,0)),L74)</f>
        <v>40452</v>
      </c>
      <c r="H74" s="57">
        <f>IFERROR(1-(INDEX(emprunts!$Q$2:$Q$149,MATCH($A74,emprunts!$A$2:$A$149,0))="1A"),"")</f>
        <v>1</v>
      </c>
      <c r="I74">
        <f t="shared" si="3"/>
        <v>2010</v>
      </c>
      <c r="J74">
        <f>1*(INDEX(emprunts!$H$2:$H$149,MATCH($B74,emprunts!$A$2:$A$149,0))&gt;1)</f>
        <v>0</v>
      </c>
      <c r="K74" s="80">
        <f>SUMPRODUCT((annee=$I74)*(emprunts_annees!$A$123:$A$1367=$A74),emprunts_annees!$X$123:$X$1367)-SUMPRODUCT((De=$A74)*(année_refi=$I74)*Montant_transfere)</f>
        <v>0</v>
      </c>
      <c r="L74" s="80"/>
      <c r="O74" s="57">
        <f>IFERROR(0+(INDEX(emprunts!$Q$2:$Q$149,MATCH($B74,emprunts!$A$2:$A$149,0))="6F"),1)</f>
        <v>1</v>
      </c>
      <c r="P74" s="57">
        <f>IFERROR(0+(INDEX(emprunts!$Q$2:$Q$149,MATCH($A74,emprunts!$A$2:$A$149,0))="6F"),1)</f>
        <v>1</v>
      </c>
      <c r="Q74">
        <f t="shared" si="2"/>
        <v>1</v>
      </c>
      <c r="R74" s="5">
        <f>IF(W74="",INDEX(emprunts!$K$2:$K$149,MATCH($B74,emprunts!$A$2:$A$149,0)),W74)</f>
        <v>40347</v>
      </c>
    </row>
    <row r="75" spans="1:18">
      <c r="A75" s="1" t="s">
        <v>300</v>
      </c>
      <c r="B75" s="1" t="s">
        <v>580</v>
      </c>
      <c r="C75" s="57">
        <v>6725870.4800000004</v>
      </c>
      <c r="F75" s="57">
        <f>SUMPRODUCT((emprunts!$A$2:$A$149=$B75)*emprunts!F$2:F$149)</f>
        <v>0</v>
      </c>
      <c r="G75" s="5">
        <f>IF(L75="",INDEX(emprunts!$M$2:$M$149,MATCH(B75,emprunts!$A$2:$A$149,0)),L75)</f>
        <v>40664</v>
      </c>
      <c r="H75" s="57">
        <f>IFERROR(1-(INDEX(emprunts!$Q$2:$Q$149,MATCH($A75,emprunts!$A$2:$A$149,0))="1A"),"")</f>
        <v>1</v>
      </c>
      <c r="I75">
        <f t="shared" ref="I75" si="4">YEAR(G75)</f>
        <v>2011</v>
      </c>
      <c r="J75">
        <f>1*(INDEX(emprunts!$H$2:$H$149,MATCH($B75,emprunts!$A$2:$A$149,0))&gt;1)</f>
        <v>0</v>
      </c>
      <c r="K75" s="80">
        <f>SUMPRODUCT((annee=$I75)*(emprunts_annees!$A$123:$A$1367=$A75),emprunts_annees!$X$123:$X$1367)-SUMPRODUCT((De=$A75)*(année_refi=$I75)*Montant_transfere)</f>
        <v>0</v>
      </c>
      <c r="L75" s="80"/>
      <c r="M75" t="s">
        <v>652</v>
      </c>
      <c r="O75" s="57">
        <f>IFERROR(0+(INDEX(emprunts!$Q$2:$Q$149,MATCH($B75,emprunts!$A$2:$A$149,0))="6F"),1)</f>
        <v>1</v>
      </c>
      <c r="P75" s="57">
        <f>IFERROR(0+(INDEX(emprunts!$Q$2:$Q$149,MATCH($A75,emprunts!$A$2:$A$149,0))="6F"),1)</f>
        <v>1</v>
      </c>
      <c r="Q75">
        <f t="shared" si="2"/>
        <v>1</v>
      </c>
      <c r="R75" s="5">
        <f>IF(W75="",INDEX(emprunts!$K$2:$K$149,MATCH($B75,emprunts!$A$2:$A$149,0)),W75)</f>
        <v>40664</v>
      </c>
    </row>
    <row r="76" spans="1:18">
      <c r="A76" s="1" t="s">
        <v>580</v>
      </c>
      <c r="B76" s="1" t="s">
        <v>497</v>
      </c>
      <c r="C76" s="57">
        <v>6725870.4800000004</v>
      </c>
      <c r="F76" s="57">
        <f>SUMPRODUCT((emprunts!$A$2:$A$149=$B76)*emprunts!F$2:F$149)</f>
        <v>0</v>
      </c>
      <c r="G76" s="5">
        <f>IF(L76="",INDEX(emprunts!$M$2:$M$149,MATCH(B76,emprunts!$A$2:$A$149,0)),L76)</f>
        <v>41030</v>
      </c>
      <c r="H76" s="57">
        <f>IFERROR(1-(INDEX(emprunts!$Q$2:$Q$149,MATCH($A76,emprunts!$A$2:$A$149,0))="1A"),"")</f>
        <v>1</v>
      </c>
      <c r="I76">
        <f t="shared" si="3"/>
        <v>2012</v>
      </c>
      <c r="J76">
        <f>1*(INDEX(emprunts!$H$2:$H$149,MATCH($B76,emprunts!$A$2:$A$149,0))&gt;1)</f>
        <v>0</v>
      </c>
      <c r="K76" s="80">
        <f>SUMPRODUCT((annee=$I76)*(emprunts_annees!$A$123:$A$1367=$A76),emprunts_annees!$X$123:$X$1367)-SUMPRODUCT((De=$A76)*(année_refi=$I76)*Montant_transfere)</f>
        <v>0</v>
      </c>
      <c r="L76" s="80"/>
      <c r="M76" t="s">
        <v>652</v>
      </c>
      <c r="O76" s="57">
        <f>IFERROR(0+(INDEX(emprunts!$Q$2:$Q$149,MATCH($B76,emprunts!$A$2:$A$149,0))="6F"),1)</f>
        <v>1</v>
      </c>
      <c r="P76" s="57">
        <f>IFERROR(0+(INDEX(emprunts!$Q$2:$Q$149,MATCH($A76,emprunts!$A$2:$A$149,0))="6F"),1)</f>
        <v>1</v>
      </c>
      <c r="Q76">
        <f t="shared" si="2"/>
        <v>1</v>
      </c>
      <c r="R76" s="5">
        <f>IF(W76="",INDEX(emprunts!$K$2:$K$149,MATCH($B76,emprunts!$A$2:$A$149,0)),W76)</f>
        <v>40347</v>
      </c>
    </row>
    <row r="77" spans="1:18">
      <c r="A77" s="1" t="s">
        <v>497</v>
      </c>
      <c r="B77" s="1" t="s">
        <v>498</v>
      </c>
      <c r="C77" s="57">
        <v>5947000</v>
      </c>
      <c r="D77" s="57">
        <v>2950000</v>
      </c>
      <c r="F77" s="57">
        <f>SUMPRODUCT((emprunts!$A$2:$A$149=$B77)*emprunts!F$2:F$149)</f>
        <v>2950000</v>
      </c>
      <c r="G77" s="5">
        <f>IF(L77="",INDEX(emprunts!$M$2:$M$149,MATCH(B77,emprunts!$A$2:$A$149,0)),L77)</f>
        <v>41426</v>
      </c>
      <c r="H77" s="57">
        <f>IFERROR(1-(INDEX(emprunts!$Q$2:$Q$149,MATCH($A77,emprunts!$A$2:$A$149,0))="1A"),"")</f>
        <v>1</v>
      </c>
      <c r="I77">
        <f t="shared" si="3"/>
        <v>2013</v>
      </c>
      <c r="J77">
        <f>1*(INDEX(emprunts!$H$2:$H$149,MATCH($B77,emprunts!$A$2:$A$149,0))&gt;1)</f>
        <v>0</v>
      </c>
      <c r="K77" s="80">
        <f>SUMPRODUCT((annee=$I77)*(emprunts_annees!$A$123:$A$1367=$A77),emprunts_annees!$X$123:$X$1367)-SUMPRODUCT((De=$A77)*(année_refi=$I77)*Montant_transfere)</f>
        <v>0</v>
      </c>
      <c r="L77" s="80"/>
      <c r="O77" s="57">
        <f>IFERROR(0+(INDEX(emprunts!$Q$2:$Q$149,MATCH($B77,emprunts!$A$2:$A$149,0))="6F"),1)</f>
        <v>0</v>
      </c>
      <c r="P77" s="57">
        <f>IFERROR(0+(INDEX(emprunts!$Q$2:$Q$149,MATCH($A77,emprunts!$A$2:$A$149,0))="6F"),1)</f>
        <v>1</v>
      </c>
      <c r="Q77">
        <f t="shared" si="2"/>
        <v>0</v>
      </c>
      <c r="R77" s="5">
        <f>IF(W77="",INDEX(emprunts!$K$2:$K$149,MATCH($B77,emprunts!$A$2:$A$149,0)),W77)</f>
        <v>41396</v>
      </c>
    </row>
    <row r="78" spans="1:18">
      <c r="A78" s="1" t="s">
        <v>350</v>
      </c>
      <c r="B78" s="1" t="s">
        <v>498</v>
      </c>
      <c r="C78" s="57">
        <v>3815000</v>
      </c>
      <c r="F78" s="57">
        <f>SUMPRODUCT((emprunts!$A$2:$A$149=$B78)*emprunts!F$2:F$149)</f>
        <v>2950000</v>
      </c>
      <c r="G78" s="5">
        <f>IF(L78="",INDEX(emprunts!$M$2:$M$149,MATCH(B78,emprunts!$A$2:$A$149,0)),L78)</f>
        <v>41426</v>
      </c>
      <c r="H78" s="57">
        <f>IFERROR(1-(INDEX(emprunts!$Q$2:$Q$149,MATCH($A78,emprunts!$A$2:$A$149,0))="1A"),"")</f>
        <v>0</v>
      </c>
      <c r="I78">
        <f t="shared" si="3"/>
        <v>2013</v>
      </c>
      <c r="J78">
        <f>1*(INDEX(emprunts!$H$2:$H$149,MATCH($B78,emprunts!$A$2:$A$149,0))&gt;1)</f>
        <v>0</v>
      </c>
      <c r="K78" s="80">
        <f>SUMPRODUCT((annee=$I78)*(emprunts_annees!$A$123:$A$1367=$A78),emprunts_annees!$X$123:$X$1367)-SUMPRODUCT((De=$A78)*(année_refi=$I78)*Montant_transfere)</f>
        <v>0</v>
      </c>
      <c r="L78" s="80"/>
      <c r="O78" s="57">
        <f>IFERROR(0+(INDEX(emprunts!$Q$2:$Q$149,MATCH($B78,emprunts!$A$2:$A$149,0))="6F"),1)</f>
        <v>0</v>
      </c>
      <c r="P78" s="57">
        <f>IFERROR(0+(INDEX(emprunts!$Q$2:$Q$149,MATCH($A78,emprunts!$A$2:$A$149,0))="6F"),1)</f>
        <v>0</v>
      </c>
      <c r="Q78">
        <f t="shared" si="2"/>
        <v>0</v>
      </c>
      <c r="R78" s="5">
        <f>IF(W78="",INDEX(emprunts!$K$2:$K$149,MATCH($B78,emprunts!$A$2:$A$149,0)),W78)</f>
        <v>41396</v>
      </c>
    </row>
    <row r="79" spans="1:18">
      <c r="A79" s="1" t="s">
        <v>60</v>
      </c>
      <c r="B79" s="1" t="s">
        <v>246</v>
      </c>
      <c r="C79" s="57">
        <v>8722000</v>
      </c>
      <c r="F79" s="57">
        <f>SUMPRODUCT((emprunts!$A$2:$A$149=$B79)*emprunts!F$2:F$149)</f>
        <v>0</v>
      </c>
      <c r="G79" s="5">
        <f>IF(L79="",INDEX(emprunts!$M$2:$M$149,MATCH(B79,emprunts!$A$2:$A$149,0)),L79)</f>
        <v>39350</v>
      </c>
      <c r="H79" s="57">
        <f>IFERROR(1-(INDEX(emprunts!$Q$2:$Q$149,MATCH($A79,emprunts!$A$2:$A$149,0))="1A"),"")</f>
        <v>1</v>
      </c>
      <c r="I79">
        <f t="shared" si="3"/>
        <v>2007</v>
      </c>
      <c r="J79">
        <f>1*(INDEX(emprunts!$H$2:$H$149,MATCH($B79,emprunts!$A$2:$A$149,0))&gt;1)</f>
        <v>0</v>
      </c>
      <c r="K79" s="80">
        <f>SUMPRODUCT((annee=$I79)*(emprunts_annees!$A$123:$A$1367=$A79),emprunts_annees!$X$123:$X$1367)-SUMPRODUCT((De=$A79)*(année_refi=$I79)*Montant_transfere)</f>
        <v>0</v>
      </c>
      <c r="L79" s="80"/>
      <c r="O79" s="57">
        <f>IFERROR(0+(INDEX(emprunts!$Q$2:$Q$149,MATCH($B79,emprunts!$A$2:$A$149,0))="6F"),1)</f>
        <v>0</v>
      </c>
      <c r="P79" s="57">
        <f>IFERROR(0+(INDEX(emprunts!$Q$2:$Q$149,MATCH($A79,emprunts!$A$2:$A$149,0))="6F"),1)</f>
        <v>0</v>
      </c>
      <c r="Q79">
        <f t="shared" si="2"/>
        <v>0</v>
      </c>
      <c r="R79" s="5">
        <f>IF(W79="",INDEX(emprunts!$K$2:$K$149,MATCH($B79,emprunts!$A$2:$A$149,0)),W79)</f>
        <v>39360</v>
      </c>
    </row>
    <row r="80" spans="1:18">
      <c r="A80" s="1" t="s">
        <v>246</v>
      </c>
      <c r="B80" s="1" t="s">
        <v>286</v>
      </c>
      <c r="C80" s="57">
        <v>9800000</v>
      </c>
      <c r="F80" s="57">
        <f>SUMPRODUCT((emprunts!$A$2:$A$149=$B80)*emprunts!F$2:F$149)</f>
        <v>0</v>
      </c>
      <c r="G80" s="5">
        <f>IF(L80="",INDEX(emprunts!$M$2:$M$149,MATCH(B80,emprunts!$A$2:$A$149,0)),L80)</f>
        <v>40179</v>
      </c>
      <c r="H80" s="57">
        <f>IFERROR(1-(INDEX(emprunts!$Q$2:$Q$149,MATCH($A80,emprunts!$A$2:$A$149,0))="1A"),"")</f>
        <v>1</v>
      </c>
      <c r="I80">
        <f t="shared" si="3"/>
        <v>2010</v>
      </c>
      <c r="J80">
        <f>1*(INDEX(emprunts!$H$2:$H$149,MATCH($B80,emprunts!$A$2:$A$149,0))&gt;1)</f>
        <v>0</v>
      </c>
      <c r="K80" s="80">
        <f>SUMPRODUCT((annee=$I80)*(emprunts_annees!$A$123:$A$1367=$A80),emprunts_annees!$X$123:$X$1367)-SUMPRODUCT((De=$A80)*(année_refi=$I80)*Montant_transfere)</f>
        <v>0</v>
      </c>
      <c r="L80" s="80"/>
      <c r="O80" s="57">
        <f>IFERROR(0+(INDEX(emprunts!$Q$2:$Q$149,MATCH($B80,emprunts!$A$2:$A$149,0))="6F"),1)</f>
        <v>0</v>
      </c>
      <c r="P80" s="57">
        <f>IFERROR(0+(INDEX(emprunts!$Q$2:$Q$149,MATCH($A80,emprunts!$A$2:$A$149,0))="6F"),1)</f>
        <v>0</v>
      </c>
      <c r="Q80">
        <f t="shared" si="2"/>
        <v>0</v>
      </c>
      <c r="R80" s="5">
        <f>IF(W80="",INDEX(emprunts!$K$2:$K$149,MATCH($B80,emprunts!$A$2:$A$149,0)),W80)</f>
        <v>40022</v>
      </c>
    </row>
    <row r="81" spans="1:18">
      <c r="A81" s="1" t="s">
        <v>286</v>
      </c>
      <c r="B81" s="1" t="s">
        <v>331</v>
      </c>
      <c r="C81" s="57">
        <v>9366000</v>
      </c>
      <c r="F81" s="57">
        <f>SUMPRODUCT((emprunts!$A$2:$A$149=$B81)*emprunts!F$2:F$149)</f>
        <v>0</v>
      </c>
      <c r="G81" s="5">
        <f>IF(L81="",INDEX(emprunts!$M$2:$M$149,MATCH(B81,emprunts!$A$2:$A$149,0)),L81)</f>
        <v>40848</v>
      </c>
      <c r="H81" s="57">
        <f>IFERROR(1-(INDEX(emprunts!$Q$2:$Q$149,MATCH($A81,emprunts!$A$2:$A$149,0))="1A"),"")</f>
        <v>1</v>
      </c>
      <c r="I81">
        <f t="shared" si="3"/>
        <v>2011</v>
      </c>
      <c r="J81">
        <f>1*(INDEX(emprunts!$H$2:$H$149,MATCH($B81,emprunts!$A$2:$A$149,0))&gt;1)</f>
        <v>0</v>
      </c>
      <c r="K81" s="80">
        <f>SUMPRODUCT((annee=$I81)*(emprunts_annees!$A$123:$A$1367=$A81),emprunts_annees!$X$123:$X$1367)-SUMPRODUCT((De=$A81)*(année_refi=$I81)*Montant_transfere)</f>
        <v>0</v>
      </c>
      <c r="L81" s="80"/>
      <c r="O81" s="57">
        <f>IFERROR(0+(INDEX(emprunts!$Q$2:$Q$149,MATCH($B81,emprunts!$A$2:$A$149,0))="6F"),1)</f>
        <v>0</v>
      </c>
      <c r="P81" s="57">
        <f>IFERROR(0+(INDEX(emprunts!$Q$2:$Q$149,MATCH($A81,emprunts!$A$2:$A$149,0))="6F"),1)</f>
        <v>0</v>
      </c>
      <c r="Q81">
        <f t="shared" si="2"/>
        <v>0</v>
      </c>
      <c r="R81" s="5">
        <f>IF(W81="",INDEX(emprunts!$K$2:$K$149,MATCH($B81,emprunts!$A$2:$A$149,0)),W81)</f>
        <v>40877</v>
      </c>
    </row>
    <row r="82" spans="1:18">
      <c r="A82" s="1" t="s">
        <v>331</v>
      </c>
      <c r="B82" s="1" t="s">
        <v>499</v>
      </c>
      <c r="C82" s="57">
        <v>6667000</v>
      </c>
      <c r="F82" s="57">
        <f>SUMPRODUCT((emprunts!$A$2:$A$149=$B82)*emprunts!F$2:F$149)</f>
        <v>0</v>
      </c>
      <c r="G82" s="5">
        <f>IF(L82="",INDEX(emprunts!$M$2:$M$149,MATCH(B82,emprunts!$A$2:$A$149,0)),L82)</f>
        <v>43101</v>
      </c>
      <c r="H82" s="57">
        <f>IFERROR(1-(INDEX(emprunts!$Q$2:$Q$149,MATCH($A82,emprunts!$A$2:$A$149,0))="1A"),"")</f>
        <v>1</v>
      </c>
      <c r="I82">
        <f t="shared" si="3"/>
        <v>2018</v>
      </c>
      <c r="J82">
        <f>1*(INDEX(emprunts!$H$2:$H$149,MATCH($B82,emprunts!$A$2:$A$149,0))&gt;1)</f>
        <v>1</v>
      </c>
      <c r="K82" s="80">
        <f>SUMPRODUCT((annee=$I82)*(emprunts_annees!$A$123:$A$1367=$A82),emprunts_annees!$X$123:$X$1367)-SUMPRODUCT((De=$A82)*(année_refi=$I82)*Montant_transfere)</f>
        <v>0</v>
      </c>
      <c r="L82" s="80"/>
      <c r="O82" s="57">
        <f>IFERROR(0+(INDEX(emprunts!$Q$2:$Q$149,MATCH($B82,emprunts!$A$2:$A$149,0))="6F"),1)</f>
        <v>0</v>
      </c>
      <c r="P82" s="57">
        <f>IFERROR(0+(INDEX(emprunts!$Q$2:$Q$149,MATCH($A82,emprunts!$A$2:$A$149,0))="6F"),1)</f>
        <v>0</v>
      </c>
      <c r="Q82">
        <f t="shared" si="2"/>
        <v>0</v>
      </c>
      <c r="R82" s="5">
        <f>IF(W82="",INDEX(emprunts!$K$2:$K$149,MATCH($B82,emprunts!$A$2:$A$149,0)),W82)</f>
        <v>42496</v>
      </c>
    </row>
    <row r="83" spans="1:18">
      <c r="A83" s="1" t="s">
        <v>72</v>
      </c>
      <c r="B83" s="1" t="s">
        <v>225</v>
      </c>
      <c r="C83" s="57">
        <v>9761000</v>
      </c>
      <c r="F83" s="57">
        <f>SUMPRODUCT((emprunts!$A$2:$A$149=$B83)*emprunts!F$2:F$149)</f>
        <v>0</v>
      </c>
      <c r="G83" s="5">
        <f>IF(L83="",INDEX(emprunts!$M$2:$M$149,MATCH(B83,emprunts!$A$2:$A$149,0)),L83)</f>
        <v>39539</v>
      </c>
      <c r="H83" s="57">
        <f>IFERROR(1-(INDEX(emprunts!$Q$2:$Q$149,MATCH($A83,emprunts!$A$2:$A$149,0))="1A"),"")</f>
        <v>1</v>
      </c>
      <c r="I83">
        <f t="shared" si="3"/>
        <v>2008</v>
      </c>
      <c r="J83">
        <f>1*(INDEX(emprunts!$H$2:$H$149,MATCH($B83,emprunts!$A$2:$A$149,0))&gt;1)</f>
        <v>0</v>
      </c>
      <c r="K83" s="80">
        <f>SUMPRODUCT((annee=$I83)*(emprunts_annees!$A$123:$A$1367=$A83),emprunts_annees!$X$123:$X$1367)-SUMPRODUCT((De=$A83)*(année_refi=$I83)*Montant_transfere)</f>
        <v>0</v>
      </c>
      <c r="L83" s="80"/>
      <c r="O83" s="57">
        <f>IFERROR(0+(INDEX(emprunts!$Q$2:$Q$149,MATCH($B83,emprunts!$A$2:$A$149,0))="6F"),1)</f>
        <v>0</v>
      </c>
      <c r="P83" s="57">
        <f>IFERROR(0+(INDEX(emprunts!$Q$2:$Q$149,MATCH($A83,emprunts!$A$2:$A$149,0))="6F"),1)</f>
        <v>0</v>
      </c>
      <c r="Q83">
        <f t="shared" si="2"/>
        <v>0</v>
      </c>
      <c r="R83" s="5">
        <f>IF(W83="",INDEX(emprunts!$K$2:$K$149,MATCH($B83,emprunts!$A$2:$A$149,0)),W83)</f>
        <v>39191</v>
      </c>
    </row>
    <row r="84" spans="1:18">
      <c r="A84" s="1" t="s">
        <v>225</v>
      </c>
      <c r="B84" s="1" t="s">
        <v>270</v>
      </c>
      <c r="C84" s="57">
        <v>12886000</v>
      </c>
      <c r="F84" s="57">
        <f>SUMPRODUCT((emprunts!$A$2:$A$149=$B84)*emprunts!F$2:F$149)</f>
        <v>0</v>
      </c>
      <c r="G84" s="5">
        <f>IF(L84="",INDEX(emprunts!$M$2:$M$149,MATCH(B84,emprunts!$A$2:$A$149,0)),L84)</f>
        <v>40118</v>
      </c>
      <c r="H84" s="57">
        <f>IFERROR(1-(INDEX(emprunts!$Q$2:$Q$149,MATCH($A84,emprunts!$A$2:$A$149,0))="1A"),"")</f>
        <v>1</v>
      </c>
      <c r="I84">
        <f t="shared" si="3"/>
        <v>2009</v>
      </c>
      <c r="J84">
        <f>1*(INDEX(emprunts!$H$2:$H$149,MATCH($B84,emprunts!$A$2:$A$149,0))&gt;1)</f>
        <v>0</v>
      </c>
      <c r="K84" s="80">
        <f>SUMPRODUCT((annee=$I84)*(emprunts_annees!$A$123:$A$1367=$A84),emprunts_annees!$X$123:$X$1367)-SUMPRODUCT((De=$A84)*(année_refi=$I84)*Montant_transfere)</f>
        <v>0</v>
      </c>
      <c r="L84" s="80"/>
      <c r="O84" s="57">
        <f>IFERROR(0+(INDEX(emprunts!$Q$2:$Q$149,MATCH($B84,emprunts!$A$2:$A$149,0))="6F"),1)</f>
        <v>0</v>
      </c>
      <c r="P84" s="57">
        <f>IFERROR(0+(INDEX(emprunts!$Q$2:$Q$149,MATCH($A84,emprunts!$A$2:$A$149,0))="6F"),1)</f>
        <v>0</v>
      </c>
      <c r="Q84">
        <f t="shared" si="2"/>
        <v>0</v>
      </c>
      <c r="R84" s="5">
        <f>IF(W84="",INDEX(emprunts!$K$2:$K$149,MATCH($B84,emprunts!$A$2:$A$149,0)),W84)</f>
        <v>40022</v>
      </c>
    </row>
    <row r="85" spans="1:18">
      <c r="A85" s="1" t="s">
        <v>270</v>
      </c>
      <c r="B85" s="1" t="s">
        <v>500</v>
      </c>
      <c r="C85" s="57">
        <v>9248000</v>
      </c>
      <c r="F85" s="57">
        <f>SUMPRODUCT((emprunts!$A$2:$A$149=$B85)*emprunts!F$2:F$149)</f>
        <v>0</v>
      </c>
      <c r="G85" s="5">
        <f>IF(L85="",INDEX(emprunts!$M$2:$M$149,MATCH(B85,emprunts!$A$2:$A$149,0)),L85)</f>
        <v>43040</v>
      </c>
      <c r="H85" s="57">
        <f>IFERROR(1-(INDEX(emprunts!$Q$2:$Q$149,MATCH($A85,emprunts!$A$2:$A$149,0))="1A"),"")</f>
        <v>1</v>
      </c>
      <c r="I85">
        <f t="shared" si="3"/>
        <v>2017</v>
      </c>
      <c r="J85">
        <f>1*(INDEX(emprunts!$H$2:$H$149,MATCH($B85,emprunts!$A$2:$A$149,0))&gt;1)</f>
        <v>1</v>
      </c>
      <c r="K85" s="80">
        <f>SUMPRODUCT((annee=$I85)*(emprunts_annees!$A$123:$A$1367=$A85),emprunts_annees!$X$123:$X$1367)-SUMPRODUCT((De=$A85)*(année_refi=$I85)*Montant_transfere)</f>
        <v>0</v>
      </c>
      <c r="L85" s="80"/>
      <c r="O85" s="57">
        <f>IFERROR(0+(INDEX(emprunts!$Q$2:$Q$149,MATCH($B85,emprunts!$A$2:$A$149,0))="6F"),1)</f>
        <v>0</v>
      </c>
      <c r="P85" s="57">
        <f>IFERROR(0+(INDEX(emprunts!$Q$2:$Q$149,MATCH($A85,emprunts!$A$2:$A$149,0))="6F"),1)</f>
        <v>0</v>
      </c>
      <c r="Q85">
        <f t="shared" si="2"/>
        <v>0</v>
      </c>
      <c r="R85" s="5">
        <f>IF(W85="",INDEX(emprunts!$K$2:$K$149,MATCH($B85,emprunts!$A$2:$A$149,0)),W85)</f>
        <v>42488</v>
      </c>
    </row>
    <row r="86" spans="1:18">
      <c r="A86" s="1" t="s">
        <v>501</v>
      </c>
      <c r="B86" s="1" t="s">
        <v>502</v>
      </c>
      <c r="C86" s="57">
        <v>5000000</v>
      </c>
      <c r="F86" s="57">
        <f>SUMPRODUCT((emprunts!$A$2:$A$149=$B86)*emprunts!F$2:F$149)</f>
        <v>0</v>
      </c>
      <c r="G86" s="5">
        <f>IF(L86="",INDEX(emprunts!$M$2:$M$149,MATCH(B86,emprunts!$A$2:$A$149,0)),L86)</f>
        <v>39356</v>
      </c>
      <c r="H86" s="57">
        <f>IFERROR(1-(INDEX(emprunts!$Q$2:$Q$149,MATCH($A86,emprunts!$A$2:$A$149,0))="1A"),"")</f>
        <v>0</v>
      </c>
      <c r="I86">
        <f t="shared" si="3"/>
        <v>2007</v>
      </c>
      <c r="J86">
        <f>1*(INDEX(emprunts!$H$2:$H$149,MATCH($B86,emprunts!$A$2:$A$149,0))&gt;1)</f>
        <v>0</v>
      </c>
      <c r="K86" s="80">
        <f>SUMPRODUCT((annee=$I86)*(emprunts_annees!$A$123:$A$1367=$A86),emprunts_annees!$X$123:$X$1367)-SUMPRODUCT((De=$A86)*(année_refi=$I86)*Montant_transfere)</f>
        <v>0</v>
      </c>
      <c r="L86" s="80"/>
      <c r="O86" s="57">
        <f>IFERROR(0+(INDEX(emprunts!$Q$2:$Q$149,MATCH($B86,emprunts!$A$2:$A$149,0))="6F"),1)</f>
        <v>0</v>
      </c>
      <c r="P86" s="57">
        <f>IFERROR(0+(INDEX(emprunts!$Q$2:$Q$149,MATCH($A86,emprunts!$A$2:$A$149,0))="6F"),1)</f>
        <v>0</v>
      </c>
      <c r="Q86">
        <f t="shared" si="2"/>
        <v>0</v>
      </c>
      <c r="R86" s="5">
        <f>IF(W86="",INDEX(emprunts!$K$2:$K$149,MATCH($B86,emprunts!$A$2:$A$149,0)),W86)</f>
        <v>39052</v>
      </c>
    </row>
    <row r="87" spans="1:18">
      <c r="A87" s="1" t="s">
        <v>501</v>
      </c>
      <c r="B87" s="1" t="s">
        <v>503</v>
      </c>
      <c r="C87" s="57">
        <v>3000000</v>
      </c>
      <c r="F87" s="57">
        <f>SUMPRODUCT((emprunts!$A$2:$A$149=$B87)*emprunts!F$2:F$149)</f>
        <v>0</v>
      </c>
      <c r="G87" s="5">
        <f>IF(L87="",INDEX(emprunts!$M$2:$M$149,MATCH(B87,emprunts!$A$2:$A$149,0)),L87)</f>
        <v>39356</v>
      </c>
      <c r="H87" s="57">
        <f>IFERROR(1-(INDEX(emprunts!$Q$2:$Q$149,MATCH($A87,emprunts!$A$2:$A$149,0))="1A"),"")</f>
        <v>0</v>
      </c>
      <c r="I87">
        <f t="shared" si="3"/>
        <v>2007</v>
      </c>
      <c r="J87">
        <f>1*(INDEX(emprunts!$H$2:$H$149,MATCH($B87,emprunts!$A$2:$A$149,0))&gt;1)</f>
        <v>0</v>
      </c>
      <c r="K87" s="80">
        <f>SUMPRODUCT((annee=$I87)*(emprunts_annees!$A$123:$A$1367=$A87),emprunts_annees!$X$123:$X$1367)-SUMPRODUCT((De=$A87)*(année_refi=$I87)*Montant_transfere)</f>
        <v>0</v>
      </c>
      <c r="L87" s="80"/>
      <c r="O87" s="57">
        <f>IFERROR(0+(INDEX(emprunts!$Q$2:$Q$149,MATCH($B87,emprunts!$A$2:$A$149,0))="6F"),1)</f>
        <v>0</v>
      </c>
      <c r="P87" s="57">
        <f>IFERROR(0+(INDEX(emprunts!$Q$2:$Q$149,MATCH($A87,emprunts!$A$2:$A$149,0))="6F"),1)</f>
        <v>0</v>
      </c>
      <c r="Q87">
        <f t="shared" si="2"/>
        <v>0</v>
      </c>
      <c r="R87" s="5">
        <f>IF(W87="",INDEX(emprunts!$K$2:$K$149,MATCH($B87,emprunts!$A$2:$A$149,0)),W87)</f>
        <v>39052</v>
      </c>
    </row>
    <row r="88" spans="1:18">
      <c r="A88" s="1" t="s">
        <v>501</v>
      </c>
      <c r="B88" s="1" t="s">
        <v>504</v>
      </c>
      <c r="C88" s="57">
        <v>2000000</v>
      </c>
      <c r="F88" s="57">
        <f>SUMPRODUCT((emprunts!$A$2:$A$149=$B88)*emprunts!F$2:F$149)</f>
        <v>0</v>
      </c>
      <c r="G88" s="5">
        <f>IF(L88="",INDEX(emprunts!$M$2:$M$149,MATCH(B88,emprunts!$A$2:$A$149,0)),L88)</f>
        <v>39356</v>
      </c>
      <c r="H88" s="57">
        <f>IFERROR(1-(INDEX(emprunts!$Q$2:$Q$149,MATCH($A88,emprunts!$A$2:$A$149,0))="1A"),"")</f>
        <v>0</v>
      </c>
      <c r="I88">
        <f t="shared" si="3"/>
        <v>2007</v>
      </c>
      <c r="J88">
        <f>1*(INDEX(emprunts!$H$2:$H$149,MATCH($B88,emprunts!$A$2:$A$149,0))&gt;1)</f>
        <v>0</v>
      </c>
      <c r="K88" s="80">
        <f>SUMPRODUCT((annee=$I88)*(emprunts_annees!$A$123:$A$1367=$A88),emprunts_annees!$X$123:$X$1367)-SUMPRODUCT((De=$A88)*(année_refi=$I88)*Montant_transfere)</f>
        <v>0</v>
      </c>
      <c r="L88" s="80"/>
      <c r="O88" s="57">
        <f>IFERROR(0+(INDEX(emprunts!$Q$2:$Q$149,MATCH($B88,emprunts!$A$2:$A$149,0))="6F"),1)</f>
        <v>0</v>
      </c>
      <c r="P88" s="57">
        <f>IFERROR(0+(INDEX(emprunts!$Q$2:$Q$149,MATCH($A88,emprunts!$A$2:$A$149,0))="6F"),1)</f>
        <v>0</v>
      </c>
      <c r="Q88">
        <f t="shared" si="2"/>
        <v>0</v>
      </c>
      <c r="R88" s="5">
        <f>IF(W88="",INDEX(emprunts!$K$2:$K$149,MATCH($B88,emprunts!$A$2:$A$149,0)),W88)</f>
        <v>39326</v>
      </c>
    </row>
    <row r="89" spans="1:18">
      <c r="A89" s="1" t="s">
        <v>502</v>
      </c>
      <c r="B89" s="1" t="s">
        <v>284</v>
      </c>
      <c r="C89" s="57">
        <v>4476000</v>
      </c>
      <c r="F89" s="57">
        <f>SUMPRODUCT((emprunts!$A$2:$A$149=$B89)*emprunts!F$2:F$149)</f>
        <v>0</v>
      </c>
      <c r="G89" s="5">
        <f>IF(L89="",INDEX(emprunts!$M$2:$M$149,MATCH(B89,emprunts!$A$2:$A$149,0)),L89)</f>
        <v>40452</v>
      </c>
      <c r="H89" s="57">
        <f>IFERROR(1-(INDEX(emprunts!$Q$2:$Q$149,MATCH($A89,emprunts!$A$2:$A$149,0))="1A"),"")</f>
        <v>1</v>
      </c>
      <c r="I89">
        <f t="shared" si="3"/>
        <v>2010</v>
      </c>
      <c r="J89">
        <f>1*(INDEX(emprunts!$H$2:$H$149,MATCH($B89,emprunts!$A$2:$A$149,0))&gt;1)</f>
        <v>0</v>
      </c>
      <c r="K89" s="80">
        <f>SUMPRODUCT((annee=$I89)*(emprunts_annees!$A$123:$A$1367=$A89),emprunts_annees!$X$123:$X$1367)-SUMPRODUCT((De=$A89)*(année_refi=$I89)*Montant_transfere)</f>
        <v>0</v>
      </c>
      <c r="L89" s="80"/>
      <c r="O89" s="57">
        <f>IFERROR(0+(INDEX(emprunts!$Q$2:$Q$149,MATCH($B89,emprunts!$A$2:$A$149,0))="6F"),1)</f>
        <v>0</v>
      </c>
      <c r="P89" s="57">
        <f>IFERROR(0+(INDEX(emprunts!$Q$2:$Q$149,MATCH($A89,emprunts!$A$2:$A$149,0))="6F"),1)</f>
        <v>0</v>
      </c>
      <c r="Q89">
        <f t="shared" si="2"/>
        <v>0</v>
      </c>
      <c r="R89" s="5">
        <f>IF(W89="",INDEX(emprunts!$K$2:$K$149,MATCH($B89,emprunts!$A$2:$A$149,0)),W89)</f>
        <v>40437</v>
      </c>
    </row>
    <row r="90" spans="1:18">
      <c r="A90" s="1" t="s">
        <v>503</v>
      </c>
      <c r="B90" s="1" t="s">
        <v>313</v>
      </c>
      <c r="C90" s="57">
        <v>2572000</v>
      </c>
      <c r="F90" s="57">
        <f>SUMPRODUCT((emprunts!$A$2:$A$149=$B90)*emprunts!F$2:F$149)</f>
        <v>0</v>
      </c>
      <c r="G90" s="5">
        <f>IF(L90="",INDEX(emprunts!$M$2:$M$149,MATCH(B90,emprunts!$A$2:$A$149,0)),L90)</f>
        <v>40513</v>
      </c>
      <c r="H90" s="57">
        <f>IFERROR(1-(INDEX(emprunts!$Q$2:$Q$149,MATCH($A90,emprunts!$A$2:$A$149,0))="1A"),"")</f>
        <v>1</v>
      </c>
      <c r="I90">
        <f t="shared" si="3"/>
        <v>2010</v>
      </c>
      <c r="J90">
        <f>1*(INDEX(emprunts!$H$2:$H$149,MATCH($B90,emprunts!$A$2:$A$149,0))&gt;1)</f>
        <v>0</v>
      </c>
      <c r="K90" s="80">
        <f>SUMPRODUCT((annee=$I90)*(emprunts_annees!$A$123:$A$1367=$A90),emprunts_annees!$X$123:$X$1367)-SUMPRODUCT((De=$A90)*(année_refi=$I90)*Montant_transfere)</f>
        <v>0</v>
      </c>
      <c r="L90" s="80"/>
      <c r="O90" s="57">
        <f>IFERROR(0+(INDEX(emprunts!$Q$2:$Q$149,MATCH($B90,emprunts!$A$2:$A$149,0))="6F"),1)</f>
        <v>0</v>
      </c>
      <c r="P90" s="57">
        <f>IFERROR(0+(INDEX(emprunts!$Q$2:$Q$149,MATCH($A90,emprunts!$A$2:$A$149,0))="6F"),1)</f>
        <v>0</v>
      </c>
      <c r="Q90">
        <f t="shared" si="2"/>
        <v>0</v>
      </c>
      <c r="R90" s="5">
        <f>IF(W90="",INDEX(emprunts!$K$2:$K$149,MATCH($B90,emprunts!$A$2:$A$149,0)),W90)</f>
        <v>40437</v>
      </c>
    </row>
    <row r="91" spans="1:18">
      <c r="A91" s="1" t="s">
        <v>504</v>
      </c>
      <c r="B91" s="1" t="s">
        <v>304</v>
      </c>
      <c r="C91" s="57">
        <v>1790000</v>
      </c>
      <c r="F91" s="57">
        <f>SUMPRODUCT((emprunts!$A$2:$A$149=$B91)*emprunts!F$2:F$149)</f>
        <v>0</v>
      </c>
      <c r="G91" s="5">
        <f>IF(L91="",INDEX(emprunts!$M$2:$M$149,MATCH(B91,emprunts!$A$2:$A$149,0)),L91)</f>
        <v>40422</v>
      </c>
      <c r="H91" s="57">
        <f>IFERROR(1-(INDEX(emprunts!$Q$2:$Q$149,MATCH($A91,emprunts!$A$2:$A$149,0))="1A"),"")</f>
        <v>1</v>
      </c>
      <c r="I91">
        <f t="shared" si="3"/>
        <v>2010</v>
      </c>
      <c r="J91">
        <f>1*(INDEX(emprunts!$H$2:$H$149,MATCH($B91,emprunts!$A$2:$A$149,0))&gt;1)</f>
        <v>0</v>
      </c>
      <c r="K91" s="80">
        <f>SUMPRODUCT((annee=$I91)*(emprunts_annees!$A$123:$A$1367=$A91),emprunts_annees!$X$123:$X$1367)-SUMPRODUCT((De=$A91)*(année_refi=$I91)*Montant_transfere)</f>
        <v>0</v>
      </c>
      <c r="L91" s="80"/>
      <c r="O91" s="57">
        <f>IFERROR(0+(INDEX(emprunts!$Q$2:$Q$149,MATCH($B91,emprunts!$A$2:$A$149,0))="6F"),1)</f>
        <v>0</v>
      </c>
      <c r="P91" s="57">
        <f>IFERROR(0+(INDEX(emprunts!$Q$2:$Q$149,MATCH($A91,emprunts!$A$2:$A$149,0))="6F"),1)</f>
        <v>0</v>
      </c>
      <c r="Q91">
        <f t="shared" si="2"/>
        <v>0</v>
      </c>
      <c r="R91" s="5">
        <f>IF(W91="",INDEX(emprunts!$K$2:$K$149,MATCH($B91,emprunts!$A$2:$A$149,0)),W91)</f>
        <v>40437</v>
      </c>
    </row>
    <row r="92" spans="1:18">
      <c r="A92" s="1" t="s">
        <v>284</v>
      </c>
      <c r="B92" s="1" t="s">
        <v>358</v>
      </c>
      <c r="C92" s="57">
        <v>4072000</v>
      </c>
      <c r="F92" s="57">
        <f>SUMPRODUCT((emprunts!$A$2:$A$149=$B92)*emprunts!F$2:F$149)</f>
        <v>0</v>
      </c>
      <c r="G92" s="5">
        <f>IF(L92="",INDEX(emprunts!$M$2:$M$149,MATCH(B92,emprunts!$A$2:$A$149,0)),L92)</f>
        <v>41640</v>
      </c>
      <c r="H92" s="57">
        <f>IFERROR(1-(INDEX(emprunts!$Q$2:$Q$149,MATCH($A92,emprunts!$A$2:$A$149,0))="1A"),"")</f>
        <v>1</v>
      </c>
      <c r="I92">
        <f t="shared" si="3"/>
        <v>2014</v>
      </c>
      <c r="J92">
        <f>1*(INDEX(emprunts!$H$2:$H$149,MATCH($B92,emprunts!$A$2:$A$149,0))&gt;1)</f>
        <v>0</v>
      </c>
      <c r="K92" s="80">
        <f>SUMPRODUCT((annee=$I92)*(emprunts_annees!$A$123:$A$1367=$A92),emprunts_annees!$X$123:$X$1367)-SUMPRODUCT((De=$A92)*(année_refi=$I92)*Montant_transfere)</f>
        <v>0</v>
      </c>
      <c r="L92" s="80"/>
      <c r="O92" s="57">
        <f>IFERROR(0+(INDEX(emprunts!$Q$2:$Q$149,MATCH($B92,emprunts!$A$2:$A$149,0))="6F"),1)</f>
        <v>0</v>
      </c>
      <c r="P92" s="57">
        <f>IFERROR(0+(INDEX(emprunts!$Q$2:$Q$149,MATCH($A92,emprunts!$A$2:$A$149,0))="6F"),1)</f>
        <v>0</v>
      </c>
      <c r="Q92">
        <f t="shared" si="2"/>
        <v>0</v>
      </c>
      <c r="R92" s="5">
        <f>IF(W92="",INDEX(emprunts!$K$2:$K$149,MATCH($B92,emprunts!$A$2:$A$149,0)),W92)</f>
        <v>41787</v>
      </c>
    </row>
    <row r="93" spans="1:18">
      <c r="A93" s="1" t="s">
        <v>233</v>
      </c>
      <c r="B93" s="1" t="s">
        <v>267</v>
      </c>
      <c r="C93" s="57">
        <v>4000000</v>
      </c>
      <c r="F93" s="57">
        <f>SUMPRODUCT((emprunts!$A$2:$A$149=$B93)*emprunts!F$2:F$149)</f>
        <v>0</v>
      </c>
      <c r="G93" s="5">
        <f>IF(L93="",INDEX(emprunts!$M$2:$M$149,MATCH(B93,emprunts!$A$2:$A$149,0)),L93)</f>
        <v>39904</v>
      </c>
      <c r="H93" s="57">
        <f>IFERROR(1-(INDEX(emprunts!$Q$2:$Q$149,MATCH($A93,emprunts!$A$2:$A$149,0))="1A"),"")</f>
        <v>1</v>
      </c>
      <c r="I93">
        <f t="shared" si="3"/>
        <v>2009</v>
      </c>
      <c r="J93">
        <f>1*(INDEX(emprunts!$H$2:$H$149,MATCH($B93,emprunts!$A$2:$A$149,0))&gt;1)</f>
        <v>0</v>
      </c>
      <c r="K93" s="80">
        <f>SUMPRODUCT((annee=$I93)*(emprunts_annees!$A$123:$A$1367=$A93),emprunts_annees!$X$123:$X$1367)-SUMPRODUCT((De=$A93)*(année_refi=$I93)*Montant_transfere)</f>
        <v>0</v>
      </c>
      <c r="L93" s="80"/>
      <c r="M93" t="s">
        <v>698</v>
      </c>
      <c r="O93" s="57">
        <f>IFERROR(0+(INDEX(emprunts!$Q$2:$Q$149,MATCH($B93,emprunts!$A$2:$A$149,0))="6F"),1)</f>
        <v>1</v>
      </c>
      <c r="P93" s="57">
        <f>IFERROR(0+(INDEX(emprunts!$Q$2:$Q$149,MATCH($A93,emprunts!$A$2:$A$149,0))="6F"),1)</f>
        <v>1</v>
      </c>
      <c r="Q93">
        <f t="shared" si="2"/>
        <v>1</v>
      </c>
      <c r="R93" s="5">
        <f>IF(W93="",INDEX(emprunts!$K$2:$K$149,MATCH($B93,emprunts!$A$2:$A$149,0)),W93)</f>
        <v>40073</v>
      </c>
    </row>
    <row r="94" spans="1:18">
      <c r="A94" s="1" t="s">
        <v>267</v>
      </c>
      <c r="B94" s="1" t="s">
        <v>288</v>
      </c>
      <c r="C94" s="57">
        <v>3731000</v>
      </c>
      <c r="F94" s="57">
        <f>SUMPRODUCT((emprunts!$A$2:$A$149=$B94)*emprunts!F$2:F$149)</f>
        <v>0</v>
      </c>
      <c r="G94" s="5">
        <f>IF(L94="",INDEX(emprunts!$M$2:$M$149,MATCH(B94,emprunts!$A$2:$A$149,0)),L94)</f>
        <v>40452</v>
      </c>
      <c r="H94" s="57">
        <f>IFERROR(1-(INDEX(emprunts!$Q$2:$Q$149,MATCH($A94,emprunts!$A$2:$A$149,0))="1A"),"")</f>
        <v>1</v>
      </c>
      <c r="I94">
        <f t="shared" si="3"/>
        <v>2010</v>
      </c>
      <c r="J94">
        <f>1*(INDEX(emprunts!$H$2:$H$149,MATCH($B94,emprunts!$A$2:$A$149,0))&gt;1)</f>
        <v>0</v>
      </c>
      <c r="K94" s="80">
        <f>SUMPRODUCT((annee=$I94)*(emprunts_annees!$A$123:$A$1367=$A94),emprunts_annees!$X$123:$X$1367)-SUMPRODUCT((De=$A94)*(année_refi=$I94)*Montant_transfere)</f>
        <v>0</v>
      </c>
      <c r="L94" s="80"/>
      <c r="O94" s="57">
        <f>IFERROR(0+(INDEX(emprunts!$Q$2:$Q$149,MATCH($B94,emprunts!$A$2:$A$149,0))="6F"),1)</f>
        <v>0</v>
      </c>
      <c r="P94" s="57">
        <f>IFERROR(0+(INDEX(emprunts!$Q$2:$Q$149,MATCH($A94,emprunts!$A$2:$A$149,0))="6F"),1)</f>
        <v>1</v>
      </c>
      <c r="Q94">
        <f t="shared" si="2"/>
        <v>0</v>
      </c>
      <c r="R94" s="5">
        <f>IF(W94="",INDEX(emprunts!$K$2:$K$149,MATCH($B94,emprunts!$A$2:$A$149,0)),W94)</f>
        <v>40437</v>
      </c>
    </row>
    <row r="95" spans="1:18">
      <c r="A95" s="1" t="s">
        <v>288</v>
      </c>
      <c r="B95" s="1" t="s">
        <v>362</v>
      </c>
      <c r="C95" s="57">
        <v>3395000</v>
      </c>
      <c r="F95" s="57">
        <f>SUMPRODUCT((emprunts!$A$2:$A$149=$B95)*emprunts!F$2:F$149)</f>
        <v>0</v>
      </c>
      <c r="G95" s="5">
        <f>IF(L95="",INDEX(emprunts!$M$2:$M$149,MATCH(B95,emprunts!$A$2:$A$149,0)),L95)</f>
        <v>41730</v>
      </c>
      <c r="H95" s="57">
        <f>IFERROR(1-(INDEX(emprunts!$Q$2:$Q$149,MATCH($A95,emprunts!$A$2:$A$149,0))="1A"),"")</f>
        <v>1</v>
      </c>
      <c r="I95">
        <f t="shared" si="3"/>
        <v>2014</v>
      </c>
      <c r="J95">
        <f>1*(INDEX(emprunts!$H$2:$H$149,MATCH($B95,emprunts!$A$2:$A$149,0))&gt;1)</f>
        <v>0</v>
      </c>
      <c r="K95" s="80">
        <f>SUMPRODUCT((annee=$I95)*(emprunts_annees!$A$123:$A$1367=$A95),emprunts_annees!$X$123:$X$1367)-SUMPRODUCT((De=$A95)*(année_refi=$I95)*Montant_transfere)</f>
        <v>0</v>
      </c>
      <c r="L95" s="80"/>
      <c r="O95" s="57">
        <f>IFERROR(0+(INDEX(emprunts!$Q$2:$Q$149,MATCH($B95,emprunts!$A$2:$A$149,0))="6F"),1)</f>
        <v>0</v>
      </c>
      <c r="P95" s="57">
        <f>IFERROR(0+(INDEX(emprunts!$Q$2:$Q$149,MATCH($A95,emprunts!$A$2:$A$149,0))="6F"),1)</f>
        <v>0</v>
      </c>
      <c r="Q95">
        <f t="shared" si="2"/>
        <v>0</v>
      </c>
      <c r="R95" s="5">
        <f>IF(W95="",INDEX(emprunts!$K$2:$K$149,MATCH($B95,emprunts!$A$2:$A$149,0)),W95)</f>
        <v>41787</v>
      </c>
    </row>
    <row r="96" spans="1:18">
      <c r="A96" t="s">
        <v>16</v>
      </c>
      <c r="B96" s="1" t="s">
        <v>197</v>
      </c>
      <c r="C96" s="57">
        <f>15695000-4000000-780000</f>
        <v>10915000</v>
      </c>
      <c r="F96" s="57">
        <f>SUMPRODUCT((emprunts!$A$2:$A$149=$B96)*emprunts!F$2:F$149)</f>
        <v>0</v>
      </c>
      <c r="G96" s="5">
        <f>IF(L96="",INDEX(emprunts!$M$2:$M$149,MATCH(B96,emprunts!$A$2:$A$149,0)),L96)</f>
        <v>38773</v>
      </c>
      <c r="H96" s="57">
        <f>IFERROR(1-(INDEX(emprunts!$Q$2:$Q$149,MATCH($A96,emprunts!$A$2:$A$149,0))="1A"),"")</f>
        <v>1</v>
      </c>
      <c r="I96">
        <f t="shared" si="3"/>
        <v>2006</v>
      </c>
      <c r="J96">
        <f>1*(INDEX(emprunts!$H$2:$H$149,MATCH($B96,emprunts!$A$2:$A$149,0))&gt;1)</f>
        <v>0</v>
      </c>
      <c r="K96" s="80">
        <f>SUMPRODUCT((annee=$I96)*(emprunts_annees!$A$123:$A$1367=$A96),emprunts_annees!$X$123:$X$1367)-SUMPRODUCT((De=$A96)*(année_refi=$I96)*Montant_transfere)</f>
        <v>0</v>
      </c>
      <c r="L96" s="80"/>
      <c r="O96" s="57">
        <f>IFERROR(0+(INDEX(emprunts!$Q$2:$Q$149,MATCH($B96,emprunts!$A$2:$A$149,0))="6F"),1)</f>
        <v>0</v>
      </c>
      <c r="P96" s="57">
        <f>IFERROR(0+(INDEX(emprunts!$Q$2:$Q$149,MATCH($A96,emprunts!$A$2:$A$149,0))="6F"),1)</f>
        <v>0</v>
      </c>
      <c r="Q96">
        <f t="shared" si="2"/>
        <v>0</v>
      </c>
      <c r="R96" s="5">
        <f>IF(W96="",INDEX(emprunts!$K$2:$K$149,MATCH($B96,emprunts!$A$2:$A$149,0)),W96)</f>
        <v>38782</v>
      </c>
    </row>
    <row r="97" spans="1:18">
      <c r="A97" s="1" t="s">
        <v>79</v>
      </c>
      <c r="B97" s="1" t="s">
        <v>197</v>
      </c>
      <c r="C97" s="57">
        <v>780000</v>
      </c>
      <c r="F97" s="57">
        <f>SUMPRODUCT((emprunts!$A$2:$A$149=$B97)*emprunts!F$2:F$149)</f>
        <v>0</v>
      </c>
      <c r="G97" s="5">
        <f>IF(L97="",INDEX(emprunts!$M$2:$M$149,MATCH(B97,emprunts!$A$2:$A$149,0)),L97)</f>
        <v>38773</v>
      </c>
      <c r="H97" s="57">
        <f>IFERROR(1-(INDEX(emprunts!$Q$2:$Q$149,MATCH($A97,emprunts!$A$2:$A$149,0))="1A"),"")</f>
        <v>1</v>
      </c>
      <c r="I97">
        <f t="shared" si="3"/>
        <v>2006</v>
      </c>
      <c r="J97">
        <f>1*(INDEX(emprunts!$H$2:$H$149,MATCH($B97,emprunts!$A$2:$A$149,0))&gt;1)</f>
        <v>0</v>
      </c>
      <c r="K97" s="80">
        <f>SUMPRODUCT((annee=$I97)*(emprunts_annees!$A$123:$A$1367=$A97),emprunts_annees!$X$123:$X$1367)-SUMPRODUCT((De=$A97)*(année_refi=$I97)*Montant_transfere)</f>
        <v>0</v>
      </c>
      <c r="L97" s="80"/>
      <c r="O97" s="57">
        <f>IFERROR(0+(INDEX(emprunts!$Q$2:$Q$149,MATCH($B97,emprunts!$A$2:$A$149,0))="6F"),1)</f>
        <v>0</v>
      </c>
      <c r="P97" s="57">
        <f>IFERROR(0+(INDEX(emprunts!$Q$2:$Q$149,MATCH($A97,emprunts!$A$2:$A$149,0))="6F"),1)</f>
        <v>0</v>
      </c>
      <c r="Q97">
        <f t="shared" si="2"/>
        <v>0</v>
      </c>
      <c r="R97" s="5">
        <f>IF(W97="",INDEX(emprunts!$K$2:$K$149,MATCH($B97,emprunts!$A$2:$A$149,0)),W97)</f>
        <v>38782</v>
      </c>
    </row>
    <row r="98" spans="1:18">
      <c r="A98" s="1" t="s">
        <v>197</v>
      </c>
      <c r="B98" s="1" t="s">
        <v>235</v>
      </c>
      <c r="C98" s="57">
        <v>15001000</v>
      </c>
      <c r="F98" s="57">
        <f>SUMPRODUCT((emprunts!$A$2:$A$149=$B98)*emprunts!F$2:F$149)</f>
        <v>0</v>
      </c>
      <c r="G98" s="5">
        <f>IF(L98="",INDEX(emprunts!$M$2:$M$149,MATCH(B98,emprunts!$A$2:$A$149,0)),L98)</f>
        <v>39288</v>
      </c>
      <c r="H98" s="57">
        <f>IFERROR(1-(INDEX(emprunts!$Q$2:$Q$149,MATCH($A98,emprunts!$A$2:$A$149,0))="1A"),"")</f>
        <v>1</v>
      </c>
      <c r="I98">
        <f t="shared" si="3"/>
        <v>2007</v>
      </c>
      <c r="J98">
        <f>1*(INDEX(emprunts!$H$2:$H$149,MATCH($B98,emprunts!$A$2:$A$149,0))&gt;1)</f>
        <v>0</v>
      </c>
      <c r="K98" s="80">
        <f>SUMPRODUCT((annee=$I98)*(emprunts_annees!$A$123:$A$1367=$A98),emprunts_annees!$X$123:$X$1367)-SUMPRODUCT((De=$A98)*(année_refi=$I98)*Montant_transfere)</f>
        <v>0</v>
      </c>
      <c r="L98" s="80"/>
      <c r="O98" s="57">
        <f>IFERROR(0+(INDEX(emprunts!$Q$2:$Q$149,MATCH($B98,emprunts!$A$2:$A$149,0))="6F"),1)</f>
        <v>0</v>
      </c>
      <c r="P98" s="57">
        <f>IFERROR(0+(INDEX(emprunts!$Q$2:$Q$149,MATCH($A98,emprunts!$A$2:$A$149,0))="6F"),1)</f>
        <v>0</v>
      </c>
      <c r="Q98">
        <f t="shared" si="2"/>
        <v>0</v>
      </c>
      <c r="R98" s="5">
        <f>IF(W98="",INDEX(emprunts!$K$2:$K$149,MATCH($B98,emprunts!$A$2:$A$149,0)),W98)</f>
        <v>39288</v>
      </c>
    </row>
    <row r="99" spans="1:18">
      <c r="A99" s="1" t="s">
        <v>235</v>
      </c>
      <c r="B99" s="1" t="s">
        <v>340</v>
      </c>
      <c r="C99" s="57">
        <v>12135477.720000001</v>
      </c>
      <c r="F99" s="57">
        <f>SUMPRODUCT((emprunts!$A$2:$A$149=$B99)*emprunts!F$2:F$149)</f>
        <v>0</v>
      </c>
      <c r="G99" s="5">
        <f>IF(L99="",INDEX(emprunts!$M$2:$M$149,MATCH(B99,emprunts!$A$2:$A$149,0)),L99)</f>
        <v>40964</v>
      </c>
      <c r="H99" s="57">
        <f>IFERROR(1-(INDEX(emprunts!$Q$2:$Q$149,MATCH($A99,emprunts!$A$2:$A$149,0))="1A"),"")</f>
        <v>1</v>
      </c>
      <c r="I99">
        <f t="shared" si="3"/>
        <v>2012</v>
      </c>
      <c r="J99">
        <f>1*(INDEX(emprunts!$H$2:$H$149,MATCH($B99,emprunts!$A$2:$A$149,0))&gt;1)</f>
        <v>0</v>
      </c>
      <c r="K99" s="80">
        <f>SUMPRODUCT((annee=$I99)*(emprunts_annees!$A$123:$A$1367=$A99),emprunts_annees!$X$123:$X$1367)-SUMPRODUCT((De=$A99)*(année_refi=$I99)*Montant_transfere)</f>
        <v>0</v>
      </c>
      <c r="L99" s="80"/>
      <c r="M99" t="s">
        <v>679</v>
      </c>
      <c r="O99" s="57">
        <f>IFERROR(0+(INDEX(emprunts!$Q$2:$Q$149,MATCH($B99,emprunts!$A$2:$A$149,0))="6F"),1)</f>
        <v>0</v>
      </c>
      <c r="P99" s="57">
        <f>IFERROR(0+(INDEX(emprunts!$Q$2:$Q$149,MATCH($A99,emprunts!$A$2:$A$149,0))="6F"),1)</f>
        <v>0</v>
      </c>
      <c r="Q99">
        <f t="shared" si="2"/>
        <v>0</v>
      </c>
      <c r="R99" s="5">
        <f>IF(W99="",INDEX(emprunts!$K$2:$K$149,MATCH($B99,emprunts!$A$2:$A$149,0)),W99)</f>
        <v>40947</v>
      </c>
    </row>
    <row r="100" spans="1:18">
      <c r="A100" s="1" t="s">
        <v>340</v>
      </c>
      <c r="B100" s="1" t="s">
        <v>354</v>
      </c>
      <c r="C100" s="57">
        <v>11349000</v>
      </c>
      <c r="F100" s="57">
        <f>SUMPRODUCT((emprunts!$A$2:$A$149=$B100)*emprunts!F$2:F$149)</f>
        <v>0</v>
      </c>
      <c r="G100" s="5">
        <f>IF(L100="",INDEX(emprunts!$M$2:$M$149,MATCH(B100,emprunts!$A$2:$A$149,0)),L100)</f>
        <v>41330</v>
      </c>
      <c r="H100" s="57">
        <f>IFERROR(1-(INDEX(emprunts!$Q$2:$Q$149,MATCH($A100,emprunts!$A$2:$A$149,0))="1A"),"")</f>
        <v>1</v>
      </c>
      <c r="I100">
        <f t="shared" si="3"/>
        <v>2013</v>
      </c>
      <c r="J100">
        <f>1*(INDEX(emprunts!$H$2:$H$149,MATCH($B100,emprunts!$A$2:$A$149,0))&gt;1)</f>
        <v>0</v>
      </c>
      <c r="K100" s="80">
        <f>SUMPRODUCT((annee=$I100)*(emprunts_annees!$A$123:$A$1367=$A100),emprunts_annees!$X$123:$X$1367)-SUMPRODUCT((De=$A100)*(année_refi=$I100)*Montant_transfere)</f>
        <v>0</v>
      </c>
      <c r="L100" s="80"/>
      <c r="O100" s="57">
        <f>IFERROR(0+(INDEX(emprunts!$Q$2:$Q$149,MATCH($B100,emprunts!$A$2:$A$149,0))="6F"),1)</f>
        <v>0</v>
      </c>
      <c r="P100" s="57">
        <f>IFERROR(0+(INDEX(emprunts!$Q$2:$Q$149,MATCH($A100,emprunts!$A$2:$A$149,0))="6F"),1)</f>
        <v>0</v>
      </c>
      <c r="Q100">
        <f t="shared" si="2"/>
        <v>0</v>
      </c>
      <c r="R100" s="5">
        <f>IF(W100="",INDEX(emprunts!$K$2:$K$149,MATCH($B100,emprunts!$A$2:$A$149,0)),W100)</f>
        <v>41565</v>
      </c>
    </row>
    <row r="101" spans="1:18">
      <c r="A101" s="1" t="s">
        <v>354</v>
      </c>
      <c r="B101" s="1" t="s">
        <v>360</v>
      </c>
      <c r="C101" s="57">
        <v>10562000</v>
      </c>
      <c r="F101" s="57">
        <f>SUMPRODUCT((emprunts!$A$2:$A$149=$B101)*emprunts!F$2:F$149)</f>
        <v>0</v>
      </c>
      <c r="G101" s="5">
        <f>IF(L101="",INDEX(emprunts!$M$2:$M$149,MATCH(B101,emprunts!$A$2:$A$149,0)),L101)</f>
        <v>41695</v>
      </c>
      <c r="H101" s="57">
        <f>IFERROR(1-(INDEX(emprunts!$Q$2:$Q$149,MATCH($A101,emprunts!$A$2:$A$149,0))="1A"),"")</f>
        <v>1</v>
      </c>
      <c r="I101">
        <f t="shared" si="3"/>
        <v>2014</v>
      </c>
      <c r="J101">
        <f>1*(INDEX(emprunts!$H$2:$H$149,MATCH($B101,emprunts!$A$2:$A$149,0))&gt;1)</f>
        <v>0</v>
      </c>
      <c r="K101" s="80">
        <f>SUMPRODUCT((annee=$I101)*(emprunts_annees!$A$123:$A$1367=$A101),emprunts_annees!$X$123:$X$1367)-SUMPRODUCT((De=$A101)*(année_refi=$I101)*Montant_transfere)</f>
        <v>0</v>
      </c>
      <c r="L101" s="80"/>
      <c r="M101" t="s">
        <v>692</v>
      </c>
      <c r="O101" s="57">
        <f>IFERROR(0+(INDEX(emprunts!$Q$2:$Q$149,MATCH($B101,emprunts!$A$2:$A$149,0))="6F"),1)</f>
        <v>0</v>
      </c>
      <c r="P101" s="57">
        <f>IFERROR(0+(INDEX(emprunts!$Q$2:$Q$149,MATCH($A101,emprunts!$A$2:$A$149,0))="6F"),1)</f>
        <v>0</v>
      </c>
      <c r="Q101">
        <f t="shared" si="2"/>
        <v>0</v>
      </c>
      <c r="R101" s="5">
        <f>IF(W101="",INDEX(emprunts!$K$2:$K$149,MATCH($B101,emprunts!$A$2:$A$149,0)),W101)</f>
        <v>41565</v>
      </c>
    </row>
    <row r="102" spans="1:18">
      <c r="A102" s="1" t="s">
        <v>354</v>
      </c>
      <c r="B102" s="1" t="s">
        <v>361</v>
      </c>
      <c r="D102" s="57">
        <v>2536000</v>
      </c>
      <c r="F102" s="57">
        <f>SUMPRODUCT((emprunts!$A$2:$A$149=$B102)*emprunts!F$2:F$149)</f>
        <v>2536000</v>
      </c>
      <c r="G102" s="5">
        <f>IF(L102="",INDEX(emprunts!$M$2:$M$149,MATCH(B102,emprunts!$A$2:$A$149,0)),L102)</f>
        <v>41695</v>
      </c>
      <c r="H102" s="57">
        <f>IFERROR(1-(INDEX(emprunts!$Q$2:$Q$149,MATCH($A102,emprunts!$A$2:$A$149,0))="1A"),"")</f>
        <v>1</v>
      </c>
      <c r="I102">
        <f t="shared" si="3"/>
        <v>2014</v>
      </c>
      <c r="J102">
        <f>1*(INDEX(emprunts!$H$2:$H$149,MATCH($B102,emprunts!$A$2:$A$149,0))&gt;1)</f>
        <v>0</v>
      </c>
      <c r="K102" s="80">
        <f>SUMPRODUCT((annee=$I102)*(emprunts_annees!$A$123:$A$1367=$A102),emprunts_annees!$X$123:$X$1367)-SUMPRODUCT((De=$A102)*(année_refi=$I102)*Montant_transfere)</f>
        <v>0</v>
      </c>
      <c r="L102" s="80"/>
      <c r="M102" t="s">
        <v>691</v>
      </c>
      <c r="O102" s="57">
        <f>IFERROR(0+(INDEX(emprunts!$Q$2:$Q$149,MATCH($B102,emprunts!$A$2:$A$149,0))="6F"),1)</f>
        <v>0</v>
      </c>
      <c r="P102" s="57">
        <f>IFERROR(0+(INDEX(emprunts!$Q$2:$Q$149,MATCH($A102,emprunts!$A$2:$A$149,0))="6F"),1)</f>
        <v>0</v>
      </c>
      <c r="Q102">
        <f t="shared" si="2"/>
        <v>0</v>
      </c>
      <c r="R102" s="5">
        <f>IF(W102="",INDEX(emprunts!$K$2:$K$149,MATCH($B102,emprunts!$A$2:$A$149,0)),W102)</f>
        <v>41705</v>
      </c>
    </row>
    <row r="103" spans="1:18">
      <c r="A103" s="1" t="s">
        <v>360</v>
      </c>
      <c r="B103" s="1" t="s">
        <v>505</v>
      </c>
      <c r="C103" s="57">
        <v>4676000</v>
      </c>
      <c r="F103" s="57">
        <f>SUMPRODUCT((emprunts!$A$2:$A$149=$B103)*emprunts!F$2:F$149)</f>
        <v>0</v>
      </c>
      <c r="G103" s="5">
        <f>IF(L103="",INDEX(emprunts!$M$2:$M$149,MATCH(B103,emprunts!$A$2:$A$149,0)),L103)</f>
        <v>43156</v>
      </c>
      <c r="H103" s="57">
        <f>IFERROR(1-(INDEX(emprunts!$Q$2:$Q$149,MATCH($A103,emprunts!$A$2:$A$149,0))="1A"),"")</f>
        <v>1</v>
      </c>
      <c r="I103">
        <f t="shared" si="3"/>
        <v>2018</v>
      </c>
      <c r="J103">
        <f>1*(INDEX(emprunts!$H$2:$H$149,MATCH($B103,emprunts!$A$2:$A$149,0))&gt;1)</f>
        <v>0</v>
      </c>
      <c r="K103" s="80">
        <f>SUMPRODUCT((annee=$I103)*(emprunts_annees!$A$123:$A$1367=$A103),emprunts_annees!$X$123:$X$1367)-SUMPRODUCT((De=$A103)*(année_refi=$I103)*Montant_transfere)</f>
        <v>0</v>
      </c>
      <c r="L103" s="80"/>
      <c r="O103" s="57">
        <f>IFERROR(0+(INDEX(emprunts!$Q$2:$Q$149,MATCH($B103,emprunts!$A$2:$A$149,0))="6F"),1)</f>
        <v>0</v>
      </c>
      <c r="P103" s="57">
        <f>IFERROR(0+(INDEX(emprunts!$Q$2:$Q$149,MATCH($A103,emprunts!$A$2:$A$149,0))="6F"),1)</f>
        <v>0</v>
      </c>
      <c r="Q103">
        <f t="shared" si="2"/>
        <v>0</v>
      </c>
      <c r="R103" s="5">
        <f>IF(W103="",INDEX(emprunts!$K$2:$K$149,MATCH($B103,emprunts!$A$2:$A$149,0)),W103)</f>
        <v>43157</v>
      </c>
    </row>
    <row r="104" spans="1:18">
      <c r="A104" s="1" t="s">
        <v>250</v>
      </c>
      <c r="B104" s="1" t="s">
        <v>506</v>
      </c>
      <c r="C104" s="57">
        <v>4052000</v>
      </c>
      <c r="F104" s="57">
        <f>SUMPRODUCT((emprunts!$A$2:$A$149=$B104)*emprunts!F$2:F$149)</f>
        <v>0</v>
      </c>
      <c r="G104" s="5">
        <f>IF(L104="",INDEX(emprunts!$M$2:$M$149,MATCH(B104,emprunts!$A$2:$A$149,0)),L104)</f>
        <v>41330</v>
      </c>
      <c r="H104" s="57">
        <f>IFERROR(1-(INDEX(emprunts!$Q$2:$Q$149,MATCH($A104,emprunts!$A$2:$A$149,0))="1A"),"")</f>
        <v>1</v>
      </c>
      <c r="I104">
        <f t="shared" si="3"/>
        <v>2013</v>
      </c>
      <c r="J104">
        <f>1*(INDEX(emprunts!$H$2:$H$149,MATCH($B104,emprunts!$A$2:$A$149,0))&gt;1)</f>
        <v>0</v>
      </c>
      <c r="K104" s="80">
        <f>SUMPRODUCT((annee=$I104)*(emprunts_annees!$A$123:$A$1367=$A104),emprunts_annees!$X$123:$X$1367)-SUMPRODUCT((De=$A104)*(année_refi=$I104)*Montant_transfere)</f>
        <v>0</v>
      </c>
      <c r="L104" s="80"/>
      <c r="O104" s="57">
        <f>IFERROR(0+(INDEX(emprunts!$Q$2:$Q$149,MATCH($B104,emprunts!$A$2:$A$149,0))="6F"),1)</f>
        <v>0</v>
      </c>
      <c r="P104" s="57">
        <f>IFERROR(0+(INDEX(emprunts!$Q$2:$Q$149,MATCH($A104,emprunts!$A$2:$A$149,0))="6F"),1)</f>
        <v>0</v>
      </c>
      <c r="Q104">
        <f t="shared" si="2"/>
        <v>0</v>
      </c>
      <c r="R104" s="5">
        <f>IF(W104="",INDEX(emprunts!$K$2:$K$149,MATCH($B104,emprunts!$A$2:$A$149,0)),W104)</f>
        <v>41165</v>
      </c>
    </row>
    <row r="105" spans="1:18">
      <c r="A105" s="1" t="s">
        <v>479</v>
      </c>
      <c r="B105" t="s">
        <v>274</v>
      </c>
      <c r="C105" s="57">
        <v>4449000</v>
      </c>
      <c r="F105" s="57">
        <f>SUMPRODUCT((emprunts!$A$2:$A$149=$B105)*emprunts!F$2:F$149)</f>
        <v>0</v>
      </c>
      <c r="G105" s="5">
        <f>IF(L105="",INDEX(emprunts!$M$2:$M$149,MATCH(B105,emprunts!$A$2:$A$149,0)),L105)</f>
        <v>40142</v>
      </c>
      <c r="H105" s="57">
        <f>IFERROR(1-(INDEX(emprunts!$Q$2:$Q$149,MATCH($A105,emprunts!$A$2:$A$149,0))="1A"),"")</f>
        <v>1</v>
      </c>
      <c r="I105">
        <f t="shared" si="3"/>
        <v>2009</v>
      </c>
      <c r="J105">
        <f>1*(INDEX(emprunts!$H$2:$H$149,MATCH($B105,emprunts!$A$2:$A$149,0))&gt;1)</f>
        <v>0</v>
      </c>
      <c r="K105" s="80">
        <f>SUMPRODUCT((annee=$I105)*(emprunts_annees!$A$123:$A$1367=$A105),emprunts_annees!$X$123:$X$1367)-SUMPRODUCT((De=$A105)*(année_refi=$I105)*Montant_transfere)</f>
        <v>0</v>
      </c>
      <c r="L105" s="80"/>
      <c r="O105" s="57">
        <f>IFERROR(0+(INDEX(emprunts!$Q$2:$Q$149,MATCH($B105,emprunts!$A$2:$A$149,0))="6F"),1)</f>
        <v>0</v>
      </c>
      <c r="P105" s="57">
        <f>IFERROR(0+(INDEX(emprunts!$Q$2:$Q$149,MATCH($A105,emprunts!$A$2:$A$149,0))="6F"),1)</f>
        <v>0</v>
      </c>
      <c r="Q105">
        <f t="shared" si="2"/>
        <v>0</v>
      </c>
      <c r="R105" s="5">
        <f>IF(W105="",INDEX(emprunts!$K$2:$K$149,MATCH($B105,emprunts!$A$2:$A$149,0)),W105)</f>
        <v>40138</v>
      </c>
    </row>
    <row r="107" spans="1:18">
      <c r="G107" s="5"/>
      <c r="N107" s="57">
        <f>O107-Q107</f>
        <v>80036494</v>
      </c>
      <c r="O107" s="57">
        <f>SUMPRODUCT(($R$2:$R$105&lt;DATE(2008,4,1))*O$2:O$105,Montant_transfere)</f>
        <v>115306494</v>
      </c>
      <c r="P107" s="57">
        <f>SUMPRODUCT(($R$2:$R$105&lt;DATE(2008,4,1))*P$2:P$105,Montant_transfere)</f>
        <v>75313925.980000004</v>
      </c>
      <c r="Q107" s="57">
        <f>SUMPRODUCT(($R$2:$R$105&lt;DATE(2008,4,1))*Q$2:Q$105,Montant_transfere)</f>
        <v>35270000</v>
      </c>
      <c r="R107" s="57"/>
    </row>
    <row r="108" spans="1:18">
      <c r="N108" s="57">
        <f>O108-Q108</f>
        <v>16709000</v>
      </c>
      <c r="O108" s="57">
        <f>SUMPRODUCT(($R$2:$R$105&gt;=DATE(2008,4,1))*($R$2:$R$105&lt;DATE(2014,4,1))*O$2:O$105,Montant_transfere)</f>
        <v>164229466.26999998</v>
      </c>
      <c r="P108" s="57">
        <f>SUMPRODUCT(($R$2:$R$105&gt;=DATE(2008,4,1))*($R$2:$R$105&lt;DATE(2014,4,1))*P$2:P$105,Montant_transfere)</f>
        <v>192612466.26999998</v>
      </c>
      <c r="Q108" s="57">
        <f>SUMPRODUCT(($R$2:$R$105&gt;=DATE(2008,4,1))*($R$2:$R$105&lt;DATE(2014,4,1))*Q$2:Q$105,Montant_transfere)</f>
        <v>147520466.26999998</v>
      </c>
      <c r="R108" s="57"/>
    </row>
    <row r="109" spans="1:18">
      <c r="N109" s="57">
        <f>O109-Q109</f>
        <v>0</v>
      </c>
      <c r="O109" s="57">
        <f>SUMPRODUCT(($R$2:$R$105&gt;=DATE(2014,4,1))*O$2:O$105,Montant_transfere)</f>
        <v>0</v>
      </c>
      <c r="P109" s="57">
        <f>SUMPRODUCT(($R$2:$R$105&gt;=DATE(2014,4,1))*P$2:P$105,Montant_transfere)</f>
        <v>32235000</v>
      </c>
      <c r="Q109" s="57">
        <f>SUMPRODUCT(($R$2:$R$105&gt;=DATE(2014,4,1))*Q$2:Q$105,Montant_transfere)</f>
        <v>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enableFormatConditionsCalculation="0"/>
  <dimension ref="A1:AC1368"/>
  <sheetViews>
    <sheetView zoomScale="90" zoomScaleNormal="90" zoomScalePageLayoutView="90" workbookViewId="0">
      <pane ySplit="1" topLeftCell="A1343" activePane="bottomLeft" state="frozenSplit"/>
      <selection activeCell="F237" sqref="F237"/>
      <selection pane="bottomLeft" activeCell="G7" sqref="G7"/>
    </sheetView>
  </sheetViews>
  <sheetFormatPr baseColWidth="10" defaultRowHeight="15" x14ac:dyDescent="0"/>
  <cols>
    <col min="1" max="1" width="9.6640625" customWidth="1"/>
    <col min="2" max="2" width="15" style="17" bestFit="1" customWidth="1"/>
    <col min="3" max="4" width="9.6640625" style="17" bestFit="1" customWidth="1"/>
    <col min="5" max="5" width="6.6640625" style="17" customWidth="1"/>
    <col min="6" max="6" width="6.33203125" style="17" customWidth="1"/>
    <col min="7" max="7" width="8" style="17" customWidth="1"/>
    <col min="8" max="8" width="6" bestFit="1" customWidth="1"/>
    <col min="9" max="9" width="5" customWidth="1"/>
    <col min="10" max="10" width="7.5" customWidth="1"/>
    <col min="11" max="11" width="3.6640625" customWidth="1"/>
    <col min="12" max="13" width="9.5" customWidth="1"/>
    <col min="14" max="14" width="10.5" style="107" customWidth="1"/>
    <col min="15" max="15" width="10" style="107" bestFit="1" customWidth="1"/>
    <col min="16" max="16" width="7.5" customWidth="1"/>
    <col min="17" max="18" width="8.6640625" bestFit="1" customWidth="1"/>
    <col min="19" max="19" width="7.6640625" bestFit="1" customWidth="1"/>
    <col min="20" max="20" width="8.5" bestFit="1" customWidth="1"/>
    <col min="21" max="21" width="9.5" customWidth="1"/>
    <col min="22" max="22" width="8.33203125" customWidth="1"/>
    <col min="23" max="23" width="9.33203125" style="86" customWidth="1"/>
    <col min="24" max="24" width="9.5" style="86" customWidth="1"/>
    <col min="25" max="25" width="7.1640625" customWidth="1"/>
    <col min="27" max="27" width="8.1640625" style="56" customWidth="1"/>
    <col min="28" max="28" width="10.83203125" style="56"/>
    <col min="29" max="29" width="11.33203125" bestFit="1" customWidth="1"/>
  </cols>
  <sheetData>
    <row r="1" spans="1:29" ht="45">
      <c r="A1" s="7" t="s">
        <v>0</v>
      </c>
      <c r="B1" s="15" t="s">
        <v>1</v>
      </c>
      <c r="C1" s="15" t="str">
        <f>emprunts!M1</f>
        <v>Date_debut_recalculee</v>
      </c>
      <c r="D1" s="15" t="s">
        <v>585</v>
      </c>
      <c r="E1" s="51" t="str">
        <f>emprunts!I1</f>
        <v>Duree_initiale</v>
      </c>
      <c r="F1" s="15" t="str">
        <f>emprunts!P1</f>
        <v>Risque_Riskedge</v>
      </c>
      <c r="G1" s="53" t="s">
        <v>701</v>
      </c>
      <c r="H1" s="10" t="s">
        <v>135</v>
      </c>
      <c r="I1" s="10" t="s">
        <v>144</v>
      </c>
      <c r="J1" s="10" t="s">
        <v>145</v>
      </c>
      <c r="K1" s="10" t="s">
        <v>147</v>
      </c>
      <c r="L1" s="10" t="s">
        <v>148</v>
      </c>
      <c r="M1" s="10" t="s">
        <v>149</v>
      </c>
      <c r="N1" s="106" t="s">
        <v>150</v>
      </c>
      <c r="O1" s="106" t="s">
        <v>151</v>
      </c>
      <c r="P1" s="10" t="s">
        <v>146</v>
      </c>
      <c r="Q1" s="10" t="s">
        <v>153</v>
      </c>
      <c r="R1" s="10" t="s">
        <v>139</v>
      </c>
      <c r="S1" s="10" t="s">
        <v>141</v>
      </c>
      <c r="T1" s="10" t="s">
        <v>152</v>
      </c>
      <c r="U1" s="10" t="s">
        <v>140</v>
      </c>
      <c r="V1" s="20" t="s">
        <v>175</v>
      </c>
      <c r="W1" s="84" t="s">
        <v>573</v>
      </c>
      <c r="X1" s="20" t="s">
        <v>558</v>
      </c>
      <c r="Y1" s="95" t="s">
        <v>481</v>
      </c>
      <c r="Z1" s="19" t="s">
        <v>158</v>
      </c>
      <c r="AA1" s="54" t="s">
        <v>555</v>
      </c>
      <c r="AB1" s="54" t="s">
        <v>556</v>
      </c>
      <c r="AC1" s="54" t="s">
        <v>584</v>
      </c>
    </row>
    <row r="2" spans="1:29" s="96" customFormat="1">
      <c r="A2" s="125" t="str">
        <f>"vx_"&amp;B2</f>
        <v>vx_CDC</v>
      </c>
      <c r="B2" s="124" t="str">
        <f>preteurs_annees!C2</f>
        <v>CDC</v>
      </c>
      <c r="C2" s="117"/>
      <c r="D2" s="117"/>
      <c r="E2" s="118"/>
      <c r="F2" s="117"/>
      <c r="G2" s="126" t="str">
        <f>IF(LEFT(A2,3)="vx_","vx",INDEX(Categorie,MATCH($A2,emprunts!$A$2:$A$149,0)))</f>
        <v>vx</v>
      </c>
      <c r="H2" s="124">
        <f>preteurs_annees!A2</f>
        <v>2000</v>
      </c>
      <c r="I2" s="119"/>
      <c r="J2" s="119"/>
      <c r="K2" s="119"/>
      <c r="L2" s="119"/>
      <c r="M2" s="119"/>
      <c r="N2" s="120"/>
      <c r="O2" s="127">
        <f>preteurs_annees!E2-preteurs_annees!O2</f>
        <v>41424395.856108882</v>
      </c>
      <c r="P2" s="127"/>
      <c r="Q2" s="127">
        <f>preteurs_annees!G2-preteurs_annees!Q2</f>
        <v>2273716.9062768258</v>
      </c>
      <c r="R2" s="127">
        <f>preteurs_annees!H2-preteurs_annees!R2</f>
        <v>3323192.7493340774</v>
      </c>
      <c r="S2" s="127">
        <f>preteurs_annees!I2-preteurs_annees!S2</f>
        <v>0</v>
      </c>
      <c r="T2" s="127">
        <f>preteurs_annees!J2-preteurs_annees!T2</f>
        <v>344376.30154134211</v>
      </c>
      <c r="U2" s="127">
        <f>SUM(Q2:S2)</f>
        <v>5596909.6556109032</v>
      </c>
      <c r="V2" s="119"/>
      <c r="W2" s="121"/>
      <c r="X2" s="119"/>
      <c r="Y2" s="122"/>
      <c r="Z2" s="123"/>
      <c r="AA2" s="123"/>
      <c r="AB2" s="123"/>
      <c r="AC2" s="127">
        <f>MAX(0,O2+R2/2)</f>
        <v>43085992.230775923</v>
      </c>
    </row>
    <row r="3" spans="1:29" s="96" customFormat="1">
      <c r="A3" s="125" t="str">
        <f t="shared" ref="A3:A66" si="0">"vx_"&amp;B3</f>
        <v>vx_Dexia CL</v>
      </c>
      <c r="B3" s="124" t="str">
        <f>preteurs_annees!C3</f>
        <v>Dexia CL</v>
      </c>
      <c r="C3" s="117"/>
      <c r="D3" s="117"/>
      <c r="E3" s="118"/>
      <c r="F3" s="117"/>
      <c r="G3" s="126" t="str">
        <f>IF(LEFT(A3,3)="vx_","vx",INDEX(Categorie,MATCH($A3,emprunts!$A$2:$A$149,0)))</f>
        <v>vx</v>
      </c>
      <c r="H3" s="124">
        <f>preteurs_annees!A3</f>
        <v>2000</v>
      </c>
      <c r="I3" s="119"/>
      <c r="J3" s="119"/>
      <c r="K3" s="119"/>
      <c r="L3" s="119"/>
      <c r="M3" s="119"/>
      <c r="N3" s="120"/>
      <c r="O3" s="127">
        <f>preteurs_annees!E3-preteurs_annees!O3</f>
        <v>83626981.410581887</v>
      </c>
      <c r="P3" s="127"/>
      <c r="Q3" s="127">
        <f>preteurs_annees!G3-preteurs_annees!Q3</f>
        <v>3743615.4161654143</v>
      </c>
      <c r="R3" s="127">
        <f>preteurs_annees!H3-preteurs_annees!R3</f>
        <v>4821186.0573265208</v>
      </c>
      <c r="S3" s="127">
        <f>preteurs_annees!I3-preteurs_annees!S3</f>
        <v>0</v>
      </c>
      <c r="T3" s="127">
        <f>preteurs_annees!J3-preteurs_annees!T3</f>
        <v>1893881.8355220726</v>
      </c>
      <c r="U3" s="127">
        <f t="shared" ref="U3:U66" si="1">SUM(Q3:S3)</f>
        <v>8564801.4734919351</v>
      </c>
      <c r="V3" s="119"/>
      <c r="W3" s="121"/>
      <c r="X3" s="119"/>
      <c r="Y3" s="122"/>
      <c r="Z3" s="123"/>
      <c r="AA3" s="123"/>
      <c r="AB3" s="123"/>
      <c r="AC3" s="127">
        <f t="shared" ref="AC3:AC66" si="2">MAX(0,O3+R3/2)</f>
        <v>86037574.439245149</v>
      </c>
    </row>
    <row r="4" spans="1:29" s="96" customFormat="1">
      <c r="A4" s="125" t="str">
        <f t="shared" si="0"/>
        <v>vx_Caisse d'Épargne</v>
      </c>
      <c r="B4" s="124" t="str">
        <f>preteurs_annees!C4</f>
        <v>Caisse d'Épargne</v>
      </c>
      <c r="C4" s="117"/>
      <c r="D4" s="117"/>
      <c r="E4" s="118"/>
      <c r="F4" s="117"/>
      <c r="G4" s="126" t="str">
        <f>IF(LEFT(A4,3)="vx_","vx",INDEX(Categorie,MATCH($A4,emprunts!$A$2:$A$149,0)))</f>
        <v>vx</v>
      </c>
      <c r="H4" s="124">
        <f>preteurs_annees!A4</f>
        <v>2000</v>
      </c>
      <c r="I4" s="119"/>
      <c r="J4" s="119"/>
      <c r="K4" s="119"/>
      <c r="L4" s="119"/>
      <c r="M4" s="119"/>
      <c r="N4" s="120"/>
      <c r="O4" s="127">
        <f>preteurs_annees!E4-preteurs_annees!O4</f>
        <v>18967735.387439642</v>
      </c>
      <c r="P4" s="127"/>
      <c r="Q4" s="127">
        <f>preteurs_annees!G4-preteurs_annees!Q4</f>
        <v>615054.39600400697</v>
      </c>
      <c r="R4" s="127">
        <f>preteurs_annees!H4-preteurs_annees!R4</f>
        <v>1727355.0255619746</v>
      </c>
      <c r="S4" s="127">
        <f>preteurs_annees!I4-preteurs_annees!S4</f>
        <v>0</v>
      </c>
      <c r="T4" s="127">
        <f>preteurs_annees!J4-preteurs_annees!T4</f>
        <v>310496.06240384717</v>
      </c>
      <c r="U4" s="127">
        <f t="shared" si="1"/>
        <v>2342409.4215659816</v>
      </c>
      <c r="V4" s="119"/>
      <c r="W4" s="121"/>
      <c r="X4" s="119"/>
      <c r="Y4" s="122"/>
      <c r="Z4" s="123"/>
      <c r="AA4" s="123"/>
      <c r="AB4" s="123"/>
      <c r="AC4" s="127">
        <f t="shared" si="2"/>
        <v>19831412.900220629</v>
      </c>
    </row>
    <row r="5" spans="1:29" s="96" customFormat="1">
      <c r="A5" s="125" t="str">
        <f t="shared" si="0"/>
        <v>vx_Crédit Mutuel</v>
      </c>
      <c r="B5" s="124" t="str">
        <f>preteurs_annees!C5</f>
        <v>Crédit Mutuel</v>
      </c>
      <c r="C5" s="117"/>
      <c r="D5" s="117"/>
      <c r="E5" s="118"/>
      <c r="F5" s="117"/>
      <c r="G5" s="126" t="str">
        <f>IF(LEFT(A5,3)="vx_","vx",INDEX(Categorie,MATCH($A5,emprunts!$A$2:$A$149,0)))</f>
        <v>vx</v>
      </c>
      <c r="H5" s="124">
        <f>preteurs_annees!A5</f>
        <v>2000</v>
      </c>
      <c r="I5" s="119"/>
      <c r="J5" s="119"/>
      <c r="K5" s="119"/>
      <c r="L5" s="119"/>
      <c r="M5" s="119"/>
      <c r="N5" s="120"/>
      <c r="O5" s="127">
        <f>preteurs_annees!E5-preteurs_annees!O5</f>
        <v>5508136.1882239571</v>
      </c>
      <c r="P5" s="127"/>
      <c r="Q5" s="127">
        <f>preteurs_annees!G5-preteurs_annees!Q5</f>
        <v>246943.42364265383</v>
      </c>
      <c r="R5" s="127">
        <f>preteurs_annees!H5-preteurs_annees!R5</f>
        <v>314133.30192404747</v>
      </c>
      <c r="S5" s="127">
        <f>preteurs_annees!I5-preteurs_annees!S5</f>
        <v>0</v>
      </c>
      <c r="T5" s="127">
        <f>preteurs_annees!J5-preteurs_annees!T5</f>
        <v>7166.8000798954654</v>
      </c>
      <c r="U5" s="127">
        <f t="shared" si="1"/>
        <v>561076.72556670127</v>
      </c>
      <c r="V5" s="119"/>
      <c r="W5" s="121"/>
      <c r="X5" s="119"/>
      <c r="Y5" s="122"/>
      <c r="Z5" s="123"/>
      <c r="AA5" s="123"/>
      <c r="AB5" s="123"/>
      <c r="AC5" s="127">
        <f t="shared" si="2"/>
        <v>5665202.8391859811</v>
      </c>
    </row>
    <row r="6" spans="1:29" s="96" customFormat="1">
      <c r="A6" s="125" t="str">
        <f t="shared" si="0"/>
        <v>vx_Société générale</v>
      </c>
      <c r="B6" s="124" t="str">
        <f>preteurs_annees!C6</f>
        <v>Société générale</v>
      </c>
      <c r="C6" s="117"/>
      <c r="D6" s="117"/>
      <c r="E6" s="118"/>
      <c r="F6" s="117"/>
      <c r="G6" s="126" t="str">
        <f>IF(LEFT(A6,3)="vx_","vx",INDEX(Categorie,MATCH($A6,emprunts!$A$2:$A$149,0)))</f>
        <v>vx</v>
      </c>
      <c r="H6" s="124">
        <f>preteurs_annees!A6</f>
        <v>2000</v>
      </c>
      <c r="I6" s="119"/>
      <c r="J6" s="119"/>
      <c r="K6" s="119"/>
      <c r="L6" s="119"/>
      <c r="M6" s="119"/>
      <c r="N6" s="120"/>
      <c r="O6" s="127">
        <f>preteurs_annees!E6-preteurs_annees!O6</f>
        <v>3087492.996186669</v>
      </c>
      <c r="P6" s="127"/>
      <c r="Q6" s="127">
        <f>preteurs_annees!G6-preteurs_annees!Q6</f>
        <v>326653.26435488224</v>
      </c>
      <c r="R6" s="127">
        <f>preteurs_annees!H6-preteurs_annees!R6</f>
        <v>279888.07316228998</v>
      </c>
      <c r="S6" s="127">
        <f>preteurs_annees!I6-preteurs_annees!S6</f>
        <v>0</v>
      </c>
      <c r="T6" s="127">
        <f>preteurs_annees!J6-preteurs_annees!T6</f>
        <v>108560.86768914566</v>
      </c>
      <c r="U6" s="127">
        <f t="shared" si="1"/>
        <v>606541.33751717221</v>
      </c>
      <c r="V6" s="119"/>
      <c r="W6" s="121"/>
      <c r="X6" s="119"/>
      <c r="Y6" s="122"/>
      <c r="Z6" s="123"/>
      <c r="AA6" s="123"/>
      <c r="AB6" s="123"/>
      <c r="AC6" s="127">
        <f t="shared" si="2"/>
        <v>3227437.0327678141</v>
      </c>
    </row>
    <row r="7" spans="1:29" s="96" customFormat="1">
      <c r="A7" s="125" t="str">
        <f t="shared" si="0"/>
        <v>vx_Crédit Foncier</v>
      </c>
      <c r="B7" s="124" t="str">
        <f>preteurs_annees!C7</f>
        <v>Crédit Foncier</v>
      </c>
      <c r="C7" s="117"/>
      <c r="D7" s="117"/>
      <c r="E7" s="118"/>
      <c r="F7" s="117"/>
      <c r="G7" s="126" t="str">
        <f>IF(LEFT(A7,3)="vx_","vx",INDEX(Categorie,MATCH($A7,emprunts!$A$2:$A$149,0)))</f>
        <v>vx</v>
      </c>
      <c r="H7" s="124">
        <f>preteurs_annees!A7</f>
        <v>2000</v>
      </c>
      <c r="I7" s="119"/>
      <c r="J7" s="119"/>
      <c r="K7" s="119"/>
      <c r="L7" s="119"/>
      <c r="M7" s="119"/>
      <c r="N7" s="120"/>
      <c r="O7" s="127">
        <f>preteurs_annees!E7-preteurs_annees!O7</f>
        <v>4346255.4093346568</v>
      </c>
      <c r="P7" s="127"/>
      <c r="Q7" s="127">
        <f>preteurs_annees!G7-preteurs_annees!Q7</f>
        <v>371592.73286707321</v>
      </c>
      <c r="R7" s="127">
        <f>preteurs_annees!H7-preteurs_annees!R7</f>
        <v>374289.14382251009</v>
      </c>
      <c r="S7" s="127">
        <f>preteurs_annees!I7-preteurs_annees!S7</f>
        <v>0</v>
      </c>
      <c r="T7" s="127">
        <f>preteurs_annees!J7-preteurs_annees!T7</f>
        <v>0</v>
      </c>
      <c r="U7" s="127">
        <f t="shared" si="1"/>
        <v>745881.8766895833</v>
      </c>
      <c r="V7" s="119"/>
      <c r="W7" s="121"/>
      <c r="X7" s="119"/>
      <c r="Y7" s="122"/>
      <c r="Z7" s="123"/>
      <c r="AA7" s="123"/>
      <c r="AB7" s="123"/>
      <c r="AC7" s="127">
        <f t="shared" si="2"/>
        <v>4533399.9812459117</v>
      </c>
    </row>
    <row r="8" spans="1:29" s="96" customFormat="1">
      <c r="A8" s="125" t="str">
        <f t="shared" si="0"/>
        <v>vx_Auxifip CEPME</v>
      </c>
      <c r="B8" s="124" t="str">
        <f>preteurs_annees!C8</f>
        <v>Auxifip CEPME</v>
      </c>
      <c r="C8" s="117"/>
      <c r="D8" s="117"/>
      <c r="E8" s="118"/>
      <c r="F8" s="117"/>
      <c r="G8" s="126" t="str">
        <f>IF(LEFT(A8,3)="vx_","vx",INDEX(Categorie,MATCH($A8,emprunts!$A$2:$A$149,0)))</f>
        <v>vx</v>
      </c>
      <c r="H8" s="124">
        <f>preteurs_annees!A8</f>
        <v>2000</v>
      </c>
      <c r="I8" s="119"/>
      <c r="J8" s="119"/>
      <c r="K8" s="119"/>
      <c r="L8" s="119"/>
      <c r="M8" s="119"/>
      <c r="N8" s="120"/>
      <c r="O8" s="127">
        <f>preteurs_annees!E8-preteurs_annees!O8</f>
        <v>4103476.8295527841</v>
      </c>
      <c r="P8" s="127"/>
      <c r="Q8" s="127">
        <f>preteurs_annees!G8-preteurs_annees!Q8</f>
        <v>379529.15803292487</v>
      </c>
      <c r="R8" s="127">
        <f>preteurs_annees!H8-preteurs_annees!R8</f>
        <v>323641.40048821614</v>
      </c>
      <c r="S8" s="127">
        <f>preteurs_annees!I8-preteurs_annees!S8</f>
        <v>0</v>
      </c>
      <c r="T8" s="127">
        <f>preteurs_annees!J8-preteurs_annees!T8</f>
        <v>0</v>
      </c>
      <c r="U8" s="127">
        <f t="shared" si="1"/>
        <v>703170.55852114107</v>
      </c>
      <c r="V8" s="119"/>
      <c r="W8" s="121"/>
      <c r="X8" s="119"/>
      <c r="Y8" s="122"/>
      <c r="Z8" s="123"/>
      <c r="AA8" s="123"/>
      <c r="AB8" s="123"/>
      <c r="AC8" s="127">
        <f t="shared" si="2"/>
        <v>4265297.5297968918</v>
      </c>
    </row>
    <row r="9" spans="1:29" s="96" customFormat="1">
      <c r="A9" s="125" t="str">
        <f t="shared" si="0"/>
        <v>vx_Natixis</v>
      </c>
      <c r="B9" s="124" t="str">
        <f>preteurs_annees!C9</f>
        <v>Natixis</v>
      </c>
      <c r="C9" s="117"/>
      <c r="D9" s="117"/>
      <c r="E9" s="118"/>
      <c r="F9" s="117"/>
      <c r="G9" s="126" t="str">
        <f>IF(LEFT(A9,3)="vx_","vx",INDEX(Categorie,MATCH($A9,emprunts!$A$2:$A$149,0)))</f>
        <v>vx</v>
      </c>
      <c r="H9" s="124">
        <f>preteurs_annees!A9</f>
        <v>2000</v>
      </c>
      <c r="I9" s="119"/>
      <c r="J9" s="119"/>
      <c r="K9" s="119"/>
      <c r="L9" s="119"/>
      <c r="M9" s="119"/>
      <c r="N9" s="120"/>
      <c r="O9" s="127">
        <f>preteurs_annees!E9-preteurs_annees!O9</f>
        <v>7377738.8470352534</v>
      </c>
      <c r="P9" s="127"/>
      <c r="Q9" s="127">
        <f>preteurs_annees!G9-preteurs_annees!Q9</f>
        <v>429892.4292948005</v>
      </c>
      <c r="R9" s="127">
        <f>preteurs_annees!H9-preteurs_annees!R9</f>
        <v>643493.98420692317</v>
      </c>
      <c r="S9" s="127">
        <f>preteurs_annees!I9-preteurs_annees!S9</f>
        <v>-9.1483356896787882E-2</v>
      </c>
      <c r="T9" s="127">
        <f>preteurs_annees!J9-preteurs_annees!T9</f>
        <v>118010.71727525971</v>
      </c>
      <c r="U9" s="127">
        <f t="shared" si="1"/>
        <v>1073386.3220183668</v>
      </c>
      <c r="V9" s="119"/>
      <c r="W9" s="121"/>
      <c r="X9" s="119"/>
      <c r="Y9" s="122"/>
      <c r="Z9" s="123"/>
      <c r="AA9" s="123"/>
      <c r="AB9" s="123"/>
      <c r="AC9" s="127">
        <f t="shared" si="2"/>
        <v>7699485.8391387146</v>
      </c>
    </row>
    <row r="10" spans="1:29" s="96" customFormat="1">
      <c r="A10" s="125" t="str">
        <f t="shared" si="0"/>
        <v>vx_Krebitbank BW</v>
      </c>
      <c r="B10" s="124" t="str">
        <f>preteurs_annees!C10</f>
        <v>Krebitbank BW</v>
      </c>
      <c r="C10" s="117"/>
      <c r="D10" s="117"/>
      <c r="E10" s="118"/>
      <c r="F10" s="117"/>
      <c r="G10" s="126" t="str">
        <f>IF(LEFT(A10,3)="vx_","vx",INDEX(Categorie,MATCH($A10,emprunts!$A$2:$A$149,0)))</f>
        <v>vx</v>
      </c>
      <c r="H10" s="124">
        <f>preteurs_annees!A10</f>
        <v>2000</v>
      </c>
      <c r="I10" s="119"/>
      <c r="J10" s="119"/>
      <c r="K10" s="119"/>
      <c r="L10" s="119"/>
      <c r="M10" s="119"/>
      <c r="N10" s="120"/>
      <c r="O10" s="127">
        <f>preteurs_annees!E10-preteurs_annees!O10</f>
        <v>6982527.021896542</v>
      </c>
      <c r="P10" s="127"/>
      <c r="Q10" s="127">
        <f>preteurs_annees!G10-preteurs_annees!Q10</f>
        <v>540542.84394311567</v>
      </c>
      <c r="R10" s="127">
        <f>preteurs_annees!H10-preteurs_annees!R10</f>
        <v>636202.89331363398</v>
      </c>
      <c r="S10" s="127">
        <f>preteurs_annees!I10-preteurs_annees!S10</f>
        <v>0</v>
      </c>
      <c r="T10" s="127">
        <f>preteurs_annees!J10-preteurs_annees!T10</f>
        <v>0</v>
      </c>
      <c r="U10" s="127">
        <f t="shared" si="1"/>
        <v>1176745.7372567495</v>
      </c>
      <c r="V10" s="119"/>
      <c r="W10" s="121"/>
      <c r="X10" s="119"/>
      <c r="Y10" s="122"/>
      <c r="Z10" s="123"/>
      <c r="AA10" s="123"/>
      <c r="AB10" s="123"/>
      <c r="AC10" s="127">
        <f t="shared" si="2"/>
        <v>7300628.4685533587</v>
      </c>
    </row>
    <row r="11" spans="1:29" s="96" customFormat="1">
      <c r="A11" s="125" t="str">
        <f t="shared" si="0"/>
        <v>vx_Deutsche Hypothekenbank</v>
      </c>
      <c r="B11" s="124" t="str">
        <f>preteurs_annees!C11</f>
        <v>Deutsche Hypothekenbank</v>
      </c>
      <c r="C11" s="117"/>
      <c r="D11" s="117"/>
      <c r="E11" s="118"/>
      <c r="F11" s="117"/>
      <c r="G11" s="126" t="str">
        <f>IF(LEFT(A11,3)="vx_","vx",INDEX(Categorie,MATCH($A11,emprunts!$A$2:$A$149,0)))</f>
        <v>vx</v>
      </c>
      <c r="H11" s="124">
        <f>preteurs_annees!A11</f>
        <v>2000</v>
      </c>
      <c r="I11" s="119"/>
      <c r="J11" s="119"/>
      <c r="K11" s="119"/>
      <c r="L11" s="119"/>
      <c r="M11" s="119"/>
      <c r="N11" s="120"/>
      <c r="O11" s="127">
        <f>preteurs_annees!E11-preteurs_annees!O11</f>
        <v>3011786.7157017458</v>
      </c>
      <c r="P11" s="127"/>
      <c r="Q11" s="127">
        <f>preteurs_annees!G11-preteurs_annees!Q11</f>
        <v>271906.52840481995</v>
      </c>
      <c r="R11" s="127">
        <f>preteurs_annees!H11-preteurs_annees!R11</f>
        <v>187113.04445938673</v>
      </c>
      <c r="S11" s="127">
        <f>preteurs_annees!I11-preteurs_annees!S11</f>
        <v>0</v>
      </c>
      <c r="T11" s="127">
        <f>preteurs_annees!J11-preteurs_annees!T11</f>
        <v>0</v>
      </c>
      <c r="U11" s="127">
        <f t="shared" si="1"/>
        <v>459019.57286420668</v>
      </c>
      <c r="V11" s="119"/>
      <c r="W11" s="121"/>
      <c r="X11" s="119"/>
      <c r="Y11" s="122"/>
      <c r="Z11" s="123"/>
      <c r="AA11" s="123"/>
      <c r="AB11" s="123"/>
      <c r="AC11" s="127">
        <f t="shared" si="2"/>
        <v>3105343.2379314392</v>
      </c>
    </row>
    <row r="12" spans="1:29" s="96" customFormat="1">
      <c r="A12" s="125" t="str">
        <f t="shared" si="0"/>
        <v>vx_Rheinboden Hypothekenbank</v>
      </c>
      <c r="B12" s="124" t="str">
        <f>preteurs_annees!C12</f>
        <v>Rheinboden Hypothekenbank</v>
      </c>
      <c r="C12" s="117"/>
      <c r="D12" s="117"/>
      <c r="E12" s="118"/>
      <c r="F12" s="117"/>
      <c r="G12" s="126" t="str">
        <f>IF(LEFT(A12,3)="vx_","vx",INDEX(Categorie,MATCH($A12,emprunts!$A$2:$A$149,0)))</f>
        <v>vx</v>
      </c>
      <c r="H12" s="124">
        <f>preteurs_annees!A12</f>
        <v>2000</v>
      </c>
      <c r="I12" s="119"/>
      <c r="J12" s="119"/>
      <c r="K12" s="119"/>
      <c r="L12" s="119"/>
      <c r="M12" s="119"/>
      <c r="N12" s="120"/>
      <c r="O12" s="127">
        <f>preteurs_annees!E12-preteurs_annees!O12</f>
        <v>7448117.5012235902</v>
      </c>
      <c r="P12" s="127"/>
      <c r="Q12" s="127">
        <f>preteurs_annees!G12-preteurs_annees!Q12</f>
        <v>425965.05030822271</v>
      </c>
      <c r="R12" s="127">
        <f>preteurs_annees!H12-preteurs_annees!R12</f>
        <v>645720.02738401818</v>
      </c>
      <c r="S12" s="127">
        <f>preteurs_annees!I12-preteurs_annees!S12</f>
        <v>0</v>
      </c>
      <c r="T12" s="127">
        <f>preteurs_annees!J12-preteurs_annees!T12</f>
        <v>53399.625223181276</v>
      </c>
      <c r="U12" s="127">
        <f t="shared" si="1"/>
        <v>1071685.0776922409</v>
      </c>
      <c r="V12" s="119"/>
      <c r="W12" s="121"/>
      <c r="X12" s="119"/>
      <c r="Y12" s="122"/>
      <c r="Z12" s="123"/>
      <c r="AA12" s="123"/>
      <c r="AB12" s="123"/>
      <c r="AC12" s="127">
        <f t="shared" si="2"/>
        <v>7770977.5149155995</v>
      </c>
    </row>
    <row r="13" spans="1:29" s="96" customFormat="1">
      <c r="A13" s="125" t="str">
        <f t="shared" si="0"/>
        <v>vx_CDC</v>
      </c>
      <c r="B13" s="124" t="str">
        <f>preteurs_annees!C13</f>
        <v>CDC</v>
      </c>
      <c r="C13" s="117"/>
      <c r="D13" s="117"/>
      <c r="E13" s="118"/>
      <c r="F13" s="117"/>
      <c r="G13" s="126" t="str">
        <f>IF(LEFT(A13,3)="vx_","vx",INDEX(Categorie,MATCH($A13,emprunts!$A$2:$A$149,0)))</f>
        <v>vx</v>
      </c>
      <c r="H13" s="124">
        <f>preteurs_annees!A13</f>
        <v>2001</v>
      </c>
      <c r="I13" s="119"/>
      <c r="J13" s="119"/>
      <c r="K13" s="119"/>
      <c r="L13" s="119"/>
      <c r="M13" s="119"/>
      <c r="N13" s="120"/>
      <c r="O13" s="127">
        <f>preteurs_annees!E13-preteurs_annees!O13</f>
        <v>38138161.405611284</v>
      </c>
      <c r="P13" s="127"/>
      <c r="Q13" s="127">
        <f>preteurs_annees!G13-preteurs_annees!Q13</f>
        <v>2110113.064280781</v>
      </c>
      <c r="R13" s="127">
        <f>preteurs_annees!H13-preteurs_annees!R13</f>
        <v>3301649.3839358278</v>
      </c>
      <c r="S13" s="127">
        <f>preteurs_annees!I13-preteurs_annees!S13</f>
        <v>0</v>
      </c>
      <c r="T13" s="127">
        <f>preteurs_annees!J13-preteurs_annees!T13</f>
        <v>494309.82668478042</v>
      </c>
      <c r="U13" s="127">
        <f t="shared" si="1"/>
        <v>5411762.4482166087</v>
      </c>
      <c r="V13" s="119"/>
      <c r="W13" s="121"/>
      <c r="X13" s="119"/>
      <c r="Y13" s="122"/>
      <c r="Z13" s="123"/>
      <c r="AA13" s="123"/>
      <c r="AB13" s="123"/>
      <c r="AC13" s="127">
        <f t="shared" si="2"/>
        <v>39788986.097579196</v>
      </c>
    </row>
    <row r="14" spans="1:29" s="96" customFormat="1">
      <c r="A14" s="125" t="str">
        <f t="shared" si="0"/>
        <v>vx_Dexia CL</v>
      </c>
      <c r="B14" s="124" t="str">
        <f>preteurs_annees!C14</f>
        <v>Dexia CL</v>
      </c>
      <c r="C14" s="117"/>
      <c r="D14" s="117"/>
      <c r="E14" s="118"/>
      <c r="F14" s="117"/>
      <c r="G14" s="126" t="str">
        <f>IF(LEFT(A14,3)="vx_","vx",INDEX(Categorie,MATCH($A14,emprunts!$A$2:$A$149,0)))</f>
        <v>vx</v>
      </c>
      <c r="H14" s="124">
        <f>preteurs_annees!A14</f>
        <v>2001</v>
      </c>
      <c r="I14" s="119"/>
      <c r="J14" s="119"/>
      <c r="K14" s="119"/>
      <c r="L14" s="119"/>
      <c r="M14" s="119"/>
      <c r="N14" s="120"/>
      <c r="O14" s="127">
        <f>preteurs_annees!E14-preteurs_annees!O14</f>
        <v>82358354.946276397</v>
      </c>
      <c r="P14" s="127"/>
      <c r="Q14" s="127">
        <f>preteurs_annees!G14-preteurs_annees!Q14</f>
        <v>4100886.3166818377</v>
      </c>
      <c r="R14" s="127">
        <f>preteurs_annees!H14-preteurs_annees!R14</f>
        <v>5656870.9444284346</v>
      </c>
      <c r="S14" s="127">
        <f>preteurs_annees!I14-preteurs_annees!S14</f>
        <v>57808.16245004721</v>
      </c>
      <c r="T14" s="127">
        <f>preteurs_annees!J14-preteurs_annees!T14</f>
        <v>2322178.4840292926</v>
      </c>
      <c r="U14" s="127">
        <f t="shared" si="1"/>
        <v>9815565.4235603195</v>
      </c>
      <c r="V14" s="119"/>
      <c r="W14" s="121"/>
      <c r="X14" s="119"/>
      <c r="Y14" s="122"/>
      <c r="Z14" s="123"/>
      <c r="AA14" s="123"/>
      <c r="AB14" s="123"/>
      <c r="AC14" s="127">
        <f t="shared" si="2"/>
        <v>85186790.418490618</v>
      </c>
    </row>
    <row r="15" spans="1:29" s="96" customFormat="1">
      <c r="A15" s="125" t="str">
        <f t="shared" si="0"/>
        <v>vx_Caisse d'Épargne</v>
      </c>
      <c r="B15" s="124" t="str">
        <f>preteurs_annees!C15</f>
        <v>Caisse d'Épargne</v>
      </c>
      <c r="C15" s="117"/>
      <c r="D15" s="117"/>
      <c r="E15" s="118"/>
      <c r="F15" s="117"/>
      <c r="G15" s="126" t="str">
        <f>IF(LEFT(A15,3)="vx_","vx",INDEX(Categorie,MATCH($A15,emprunts!$A$2:$A$149,0)))</f>
        <v>vx</v>
      </c>
      <c r="H15" s="124">
        <f>preteurs_annees!A15</f>
        <v>2001</v>
      </c>
      <c r="I15" s="119"/>
      <c r="J15" s="119"/>
      <c r="K15" s="119"/>
      <c r="L15" s="119"/>
      <c r="M15" s="119"/>
      <c r="N15" s="120"/>
      <c r="O15" s="127">
        <f>preteurs_annees!E15-preteurs_annees!O15</f>
        <v>16796934.625993166</v>
      </c>
      <c r="P15" s="127"/>
      <c r="Q15" s="127">
        <f>preteurs_annees!G15-preteurs_annees!Q15</f>
        <v>1065276.4810011939</v>
      </c>
      <c r="R15" s="127">
        <f>preteurs_annees!H15-preteurs_annees!R15</f>
        <v>2170800.7568723061</v>
      </c>
      <c r="S15" s="127">
        <f>preteurs_annees!I15-preteurs_annees!S15</f>
        <v>-1.5247231349349022E-3</v>
      </c>
      <c r="T15" s="127">
        <f>preteurs_annees!J15-preteurs_annees!T15</f>
        <v>201786.35281776363</v>
      </c>
      <c r="U15" s="127">
        <f t="shared" si="1"/>
        <v>3236077.2363487771</v>
      </c>
      <c r="V15" s="119"/>
      <c r="W15" s="121"/>
      <c r="X15" s="119"/>
      <c r="Y15" s="122"/>
      <c r="Z15" s="123"/>
      <c r="AA15" s="123"/>
      <c r="AB15" s="123"/>
      <c r="AC15" s="127">
        <f t="shared" si="2"/>
        <v>17882335.004429318</v>
      </c>
    </row>
    <row r="16" spans="1:29" s="96" customFormat="1">
      <c r="A16" s="125" t="str">
        <f t="shared" si="0"/>
        <v>vx_Crédit Mutuel</v>
      </c>
      <c r="B16" s="124" t="str">
        <f>preteurs_annees!C16</f>
        <v>Crédit Mutuel</v>
      </c>
      <c r="C16" s="117"/>
      <c r="D16" s="117"/>
      <c r="E16" s="118"/>
      <c r="F16" s="117"/>
      <c r="G16" s="126" t="str">
        <f>IF(LEFT(A16,3)="vx_","vx",INDEX(Categorie,MATCH($A16,emprunts!$A$2:$A$149,0)))</f>
        <v>vx</v>
      </c>
      <c r="H16" s="124">
        <f>preteurs_annees!A16</f>
        <v>2001</v>
      </c>
      <c r="I16" s="119"/>
      <c r="J16" s="119"/>
      <c r="K16" s="119"/>
      <c r="L16" s="119"/>
      <c r="M16" s="119"/>
      <c r="N16" s="120"/>
      <c r="O16" s="127">
        <f>preteurs_annees!E16-preteurs_annees!O16</f>
        <v>3194988.7246762635</v>
      </c>
      <c r="P16" s="127"/>
      <c r="Q16" s="127">
        <f>preteurs_annees!G16-preteurs_annees!Q16</f>
        <v>212222.36249670276</v>
      </c>
      <c r="R16" s="127">
        <f>preteurs_annees!H16-preteurs_annees!R16</f>
        <v>252501.6139188878</v>
      </c>
      <c r="S16" s="127">
        <f>preteurs_annees!I16-preteurs_annees!S16</f>
        <v>-1.0673058219254017E-2</v>
      </c>
      <c r="T16" s="127">
        <f>preteurs_annees!J16-preteurs_annees!T16</f>
        <v>0</v>
      </c>
      <c r="U16" s="127">
        <f t="shared" si="1"/>
        <v>464723.96574253234</v>
      </c>
      <c r="V16" s="119"/>
      <c r="W16" s="121"/>
      <c r="X16" s="119"/>
      <c r="Y16" s="122"/>
      <c r="Z16" s="123"/>
      <c r="AA16" s="123"/>
      <c r="AB16" s="123"/>
      <c r="AC16" s="127">
        <f t="shared" si="2"/>
        <v>3321239.5316357072</v>
      </c>
    </row>
    <row r="17" spans="1:29" s="96" customFormat="1">
      <c r="A17" s="125" t="str">
        <f t="shared" si="0"/>
        <v>vx_Société générale</v>
      </c>
      <c r="B17" s="124" t="str">
        <f>preteurs_annees!C17</f>
        <v>Société générale</v>
      </c>
      <c r="C17" s="117"/>
      <c r="D17" s="117"/>
      <c r="E17" s="118"/>
      <c r="F17" s="117"/>
      <c r="G17" s="126" t="str">
        <f>IF(LEFT(A17,3)="vx_","vx",INDEX(Categorie,MATCH($A17,emprunts!$A$2:$A$149,0)))</f>
        <v>vx</v>
      </c>
      <c r="H17" s="124">
        <f>preteurs_annees!A17</f>
        <v>2001</v>
      </c>
      <c r="I17" s="119"/>
      <c r="J17" s="119"/>
      <c r="K17" s="119"/>
      <c r="L17" s="119"/>
      <c r="M17" s="119"/>
      <c r="N17" s="120"/>
      <c r="O17" s="127">
        <f>preteurs_annees!E17-preteurs_annees!O17</f>
        <v>2723459.8182225698</v>
      </c>
      <c r="P17" s="127"/>
      <c r="Q17" s="127">
        <f>preteurs_annees!G17-preteurs_annees!Q17</f>
        <v>195747.06071597926</v>
      </c>
      <c r="R17" s="127">
        <f>preteurs_annees!H17-preteurs_annees!R17</f>
        <v>364033.17643937626</v>
      </c>
      <c r="S17" s="127">
        <f>preteurs_annees!I17-preteurs_annees!S17</f>
        <v>1.5247225528582931E-3</v>
      </c>
      <c r="T17" s="127">
        <f>preteurs_annees!J17-preteurs_annees!T17</f>
        <v>99342.86437439869</v>
      </c>
      <c r="U17" s="127">
        <f t="shared" si="1"/>
        <v>559780.23868007807</v>
      </c>
      <c r="V17" s="119"/>
      <c r="W17" s="121"/>
      <c r="X17" s="119"/>
      <c r="Y17" s="122"/>
      <c r="Z17" s="123"/>
      <c r="AA17" s="123"/>
      <c r="AB17" s="123"/>
      <c r="AC17" s="127">
        <f t="shared" si="2"/>
        <v>2905476.406442258</v>
      </c>
    </row>
    <row r="18" spans="1:29" s="96" customFormat="1">
      <c r="A18" s="125" t="str">
        <f t="shared" si="0"/>
        <v>vx_Crédit Foncier</v>
      </c>
      <c r="B18" s="124" t="str">
        <f>preteurs_annees!C18</f>
        <v>Crédit Foncier</v>
      </c>
      <c r="C18" s="117"/>
      <c r="D18" s="117"/>
      <c r="E18" s="118"/>
      <c r="F18" s="117"/>
      <c r="G18" s="126" t="str">
        <f>IF(LEFT(A18,3)="vx_","vx",INDEX(Categorie,MATCH($A18,emprunts!$A$2:$A$149,0)))</f>
        <v>vx</v>
      </c>
      <c r="H18" s="124">
        <f>preteurs_annees!A18</f>
        <v>2001</v>
      </c>
      <c r="I18" s="119"/>
      <c r="J18" s="119"/>
      <c r="K18" s="119"/>
      <c r="L18" s="119"/>
      <c r="M18" s="119"/>
      <c r="N18" s="120"/>
      <c r="O18" s="127">
        <f>preteurs_annees!E18-preteurs_annees!O18</f>
        <v>3940191.6576326853</v>
      </c>
      <c r="P18" s="127"/>
      <c r="Q18" s="127">
        <f>preteurs_annees!G18-preteurs_annees!Q18</f>
        <v>345331.58600121672</v>
      </c>
      <c r="R18" s="127">
        <f>preteurs_annees!H18-preteurs_annees!R18</f>
        <v>406063.75475141685</v>
      </c>
      <c r="S18" s="127">
        <f>preteurs_annees!I18-preteurs_annees!S18</f>
        <v>-1.5247225528582931E-3</v>
      </c>
      <c r="T18" s="127">
        <f>preteurs_annees!J18-preteurs_annees!T18</f>
        <v>0</v>
      </c>
      <c r="U18" s="127">
        <f t="shared" si="1"/>
        <v>751395.33922791097</v>
      </c>
      <c r="V18" s="119"/>
      <c r="W18" s="121"/>
      <c r="X18" s="119"/>
      <c r="Y18" s="122"/>
      <c r="Z18" s="123"/>
      <c r="AA18" s="123"/>
      <c r="AB18" s="123"/>
      <c r="AC18" s="127">
        <f t="shared" si="2"/>
        <v>4143223.5350083937</v>
      </c>
    </row>
    <row r="19" spans="1:29" s="96" customFormat="1">
      <c r="A19" s="125" t="str">
        <f t="shared" si="0"/>
        <v>vx_Auxifip CEPME</v>
      </c>
      <c r="B19" s="124" t="str">
        <f>preteurs_annees!C19</f>
        <v>Auxifip CEPME</v>
      </c>
      <c r="C19" s="117"/>
      <c r="D19" s="117"/>
      <c r="E19" s="118"/>
      <c r="F19" s="117"/>
      <c r="G19" s="126" t="str">
        <f>IF(LEFT(A19,3)="vx_","vx",INDEX(Categorie,MATCH($A19,emprunts!$A$2:$A$149,0)))</f>
        <v>vx</v>
      </c>
      <c r="H19" s="124">
        <f>preteurs_annees!A19</f>
        <v>2001</v>
      </c>
      <c r="I19" s="119"/>
      <c r="J19" s="119"/>
      <c r="K19" s="119"/>
      <c r="L19" s="119"/>
      <c r="M19" s="119"/>
      <c r="N19" s="120"/>
      <c r="O19" s="127">
        <f>preteurs_annees!E19-preteurs_annees!O19</f>
        <v>3743948.0206813379</v>
      </c>
      <c r="P19" s="127"/>
      <c r="Q19" s="127">
        <f>preteurs_annees!G19-preteurs_annees!Q19</f>
        <v>351073.91092875425</v>
      </c>
      <c r="R19" s="127">
        <f>preteurs_annees!H19-preteurs_annees!R19</f>
        <v>352096.64606766414</v>
      </c>
      <c r="S19" s="127">
        <f>preteurs_annees!I19-preteurs_annees!S19</f>
        <v>0</v>
      </c>
      <c r="T19" s="127">
        <f>preteurs_annees!J19-preteurs_annees!T19</f>
        <v>0</v>
      </c>
      <c r="U19" s="127">
        <f t="shared" si="1"/>
        <v>703170.5569964184</v>
      </c>
      <c r="V19" s="119"/>
      <c r="W19" s="121"/>
      <c r="X19" s="119"/>
      <c r="Y19" s="122"/>
      <c r="Z19" s="123"/>
      <c r="AA19" s="123"/>
      <c r="AB19" s="123"/>
      <c r="AC19" s="127">
        <f t="shared" si="2"/>
        <v>3919996.3437151699</v>
      </c>
    </row>
    <row r="20" spans="1:29" s="96" customFormat="1">
      <c r="A20" s="125" t="str">
        <f t="shared" si="0"/>
        <v>vx_Natixis</v>
      </c>
      <c r="B20" s="124" t="str">
        <f>preteurs_annees!C20</f>
        <v>Natixis</v>
      </c>
      <c r="C20" s="117"/>
      <c r="D20" s="117"/>
      <c r="E20" s="118"/>
      <c r="F20" s="117"/>
      <c r="G20" s="126" t="str">
        <f>IF(LEFT(A20,3)="vx_","vx",INDEX(Categorie,MATCH($A20,emprunts!$A$2:$A$149,0)))</f>
        <v>vx</v>
      </c>
      <c r="H20" s="124">
        <f>preteurs_annees!A20</f>
        <v>2001</v>
      </c>
      <c r="I20" s="119"/>
      <c r="J20" s="119"/>
      <c r="K20" s="119"/>
      <c r="L20" s="119"/>
      <c r="M20" s="119"/>
      <c r="N20" s="120"/>
      <c r="O20" s="127">
        <f>preteurs_annees!E20-preteurs_annees!O20</f>
        <v>4612285.9083611211</v>
      </c>
      <c r="P20" s="127"/>
      <c r="Q20" s="127">
        <f>preteurs_annees!G20-preteurs_annees!Q20</f>
        <v>474372.24882863188</v>
      </c>
      <c r="R20" s="127">
        <f>preteurs_annees!H20-preteurs_annees!R20</f>
        <v>2765452.9203774603</v>
      </c>
      <c r="S20" s="127">
        <f>preteurs_annees!I20-preteurs_annees!S20</f>
        <v>9.148335549980402E-3</v>
      </c>
      <c r="T20" s="127">
        <f>preteurs_annees!J20-preteurs_annees!T20</f>
        <v>97133.338517390235</v>
      </c>
      <c r="U20" s="127">
        <f t="shared" si="1"/>
        <v>3239825.1783544277</v>
      </c>
      <c r="V20" s="119"/>
      <c r="W20" s="121"/>
      <c r="X20" s="119"/>
      <c r="Y20" s="122"/>
      <c r="Z20" s="123"/>
      <c r="AA20" s="123"/>
      <c r="AB20" s="123"/>
      <c r="AC20" s="127">
        <f t="shared" si="2"/>
        <v>5995012.3685498517</v>
      </c>
    </row>
    <row r="21" spans="1:29" s="96" customFormat="1">
      <c r="A21" s="125" t="str">
        <f t="shared" si="0"/>
        <v>vx_Krebitbank BW</v>
      </c>
      <c r="B21" s="124" t="str">
        <f>preteurs_annees!C21</f>
        <v>Krebitbank BW</v>
      </c>
      <c r="C21" s="117"/>
      <c r="D21" s="117"/>
      <c r="E21" s="118"/>
      <c r="F21" s="117"/>
      <c r="G21" s="126" t="str">
        <f>IF(LEFT(A21,3)="vx_","vx",INDEX(Categorie,MATCH($A21,emprunts!$A$2:$A$149,0)))</f>
        <v>vx</v>
      </c>
      <c r="H21" s="124">
        <f>preteurs_annees!A21</f>
        <v>2001</v>
      </c>
      <c r="I21" s="119"/>
      <c r="J21" s="119"/>
      <c r="K21" s="119"/>
      <c r="L21" s="119"/>
      <c r="M21" s="119"/>
      <c r="N21" s="120"/>
      <c r="O21" s="127">
        <f>preteurs_annees!E21-preteurs_annees!O21</f>
        <v>6318770.5399195254</v>
      </c>
      <c r="P21" s="127"/>
      <c r="Q21" s="127">
        <f>preteurs_annees!G21-preteurs_annees!Q21</f>
        <v>495237.83843124338</v>
      </c>
      <c r="R21" s="127">
        <f>preteurs_annees!H21-preteurs_annees!R21</f>
        <v>663756.46977923531</v>
      </c>
      <c r="S21" s="127">
        <f>preteurs_annees!I21-preteurs_annees!S21</f>
        <v>0</v>
      </c>
      <c r="T21" s="127">
        <f>preteurs_annees!J21-preteurs_annees!T21</f>
        <v>0</v>
      </c>
      <c r="U21" s="127">
        <f t="shared" si="1"/>
        <v>1158994.3082104786</v>
      </c>
      <c r="V21" s="119"/>
      <c r="W21" s="121"/>
      <c r="X21" s="119"/>
      <c r="Y21" s="122"/>
      <c r="Z21" s="123"/>
      <c r="AA21" s="123"/>
      <c r="AB21" s="123"/>
      <c r="AC21" s="127">
        <f t="shared" si="2"/>
        <v>6650648.7748091426</v>
      </c>
    </row>
    <row r="22" spans="1:29" s="96" customFormat="1">
      <c r="A22" s="125" t="str">
        <f t="shared" si="0"/>
        <v>vx_Deutsche Hypothekenbank</v>
      </c>
      <c r="B22" s="124" t="str">
        <f>preteurs_annees!C22</f>
        <v>Deutsche Hypothekenbank</v>
      </c>
      <c r="C22" s="117"/>
      <c r="D22" s="117"/>
      <c r="E22" s="118"/>
      <c r="F22" s="117"/>
      <c r="G22" s="126" t="str">
        <f>IF(LEFT(A22,3)="vx_","vx",INDEX(Categorie,MATCH($A22,emprunts!$A$2:$A$149,0)))</f>
        <v>vx</v>
      </c>
      <c r="H22" s="124">
        <f>preteurs_annees!A22</f>
        <v>2001</v>
      </c>
      <c r="I22" s="119"/>
      <c r="J22" s="119"/>
      <c r="K22" s="119"/>
      <c r="L22" s="119"/>
      <c r="M22" s="119"/>
      <c r="N22" s="120"/>
      <c r="O22" s="127">
        <f>preteurs_annees!E22-preteurs_annees!O22</f>
        <v>2808769.1341252746</v>
      </c>
      <c r="P22" s="127"/>
      <c r="Q22" s="127">
        <f>preteurs_annees!G22-preteurs_annees!Q22</f>
        <v>256001.99738662544</v>
      </c>
      <c r="R22" s="127">
        <f>preteurs_annees!H22-preteurs_annees!R22</f>
        <v>203017.5800517491</v>
      </c>
      <c r="S22" s="127">
        <f>preteurs_annees!I22-preteurs_annees!S22</f>
        <v>0</v>
      </c>
      <c r="T22" s="127">
        <f>preteurs_annees!J22-preteurs_annees!T22</f>
        <v>0</v>
      </c>
      <c r="U22" s="127">
        <f t="shared" si="1"/>
        <v>459019.57743837452</v>
      </c>
      <c r="V22" s="119"/>
      <c r="W22" s="121"/>
      <c r="X22" s="119"/>
      <c r="Y22" s="122"/>
      <c r="Z22" s="123"/>
      <c r="AA22" s="123"/>
      <c r="AB22" s="123"/>
      <c r="AC22" s="127">
        <f t="shared" si="2"/>
        <v>2910277.9241511491</v>
      </c>
    </row>
    <row r="23" spans="1:29" s="96" customFormat="1">
      <c r="A23" s="125" t="str">
        <f t="shared" si="0"/>
        <v>vx_Crédit Agricole</v>
      </c>
      <c r="B23" s="124" t="str">
        <f>preteurs_annees!C23</f>
        <v>Crédit Agricole</v>
      </c>
      <c r="C23" s="117"/>
      <c r="D23" s="117"/>
      <c r="E23" s="118"/>
      <c r="F23" s="117"/>
      <c r="G23" s="126" t="str">
        <f>IF(LEFT(A23,3)="vx_","vx",INDEX(Categorie,MATCH($A23,emprunts!$A$2:$A$149,0)))</f>
        <v>vx</v>
      </c>
      <c r="H23" s="124">
        <f>preteurs_annees!A23</f>
        <v>2001</v>
      </c>
      <c r="I23" s="119"/>
      <c r="J23" s="119"/>
      <c r="K23" s="119"/>
      <c r="L23" s="119"/>
      <c r="M23" s="119"/>
      <c r="N23" s="120"/>
      <c r="O23" s="127">
        <f>preteurs_annees!E23-preteurs_annees!O23</f>
        <v>2375068.7070504697</v>
      </c>
      <c r="P23" s="127"/>
      <c r="Q23" s="127">
        <f>preteurs_annees!G23-preteurs_annees!Q23</f>
        <v>0</v>
      </c>
      <c r="R23" s="127">
        <f>preteurs_annees!H23-preteurs_annees!R23</f>
        <v>0</v>
      </c>
      <c r="S23" s="127">
        <f>preteurs_annees!I23-preteurs_annees!S23</f>
        <v>0</v>
      </c>
      <c r="T23" s="127">
        <f>preteurs_annees!J23-preteurs_annees!T23</f>
        <v>22284.406509345787</v>
      </c>
      <c r="U23" s="127">
        <f t="shared" si="1"/>
        <v>0</v>
      </c>
      <c r="V23" s="119"/>
      <c r="W23" s="121"/>
      <c r="X23" s="119"/>
      <c r="Y23" s="122"/>
      <c r="Z23" s="123"/>
      <c r="AA23" s="123"/>
      <c r="AB23" s="123"/>
      <c r="AC23" s="127">
        <f t="shared" si="2"/>
        <v>2375068.7070504697</v>
      </c>
    </row>
    <row r="24" spans="1:29" s="96" customFormat="1">
      <c r="A24" s="125" t="str">
        <f t="shared" si="0"/>
        <v>vx_Rheinboden Hypothekenbank</v>
      </c>
      <c r="B24" s="124" t="str">
        <f>preteurs_annees!C24</f>
        <v>Rheinboden Hypothekenbank</v>
      </c>
      <c r="C24" s="117"/>
      <c r="D24" s="117"/>
      <c r="E24" s="118"/>
      <c r="F24" s="117"/>
      <c r="G24" s="126" t="str">
        <f>IF(LEFT(A24,3)="vx_","vx",INDEX(Categorie,MATCH($A24,emprunts!$A$2:$A$149,0)))</f>
        <v>vx</v>
      </c>
      <c r="H24" s="124">
        <f>preteurs_annees!A24</f>
        <v>2001</v>
      </c>
      <c r="I24" s="119"/>
      <c r="J24" s="119"/>
      <c r="K24" s="119"/>
      <c r="L24" s="119"/>
      <c r="M24" s="119"/>
      <c r="N24" s="120"/>
      <c r="O24" s="127">
        <f>preteurs_annees!E24-preteurs_annees!O24</f>
        <v>6802397.4784137402</v>
      </c>
      <c r="P24" s="127"/>
      <c r="Q24" s="127">
        <f>preteurs_annees!G24-preteurs_annees!Q24</f>
        <v>405521.34078007861</v>
      </c>
      <c r="R24" s="127">
        <f>preteurs_annees!H24-preteurs_annees!R24</f>
        <v>645720.02890874073</v>
      </c>
      <c r="S24" s="127">
        <f>preteurs_annees!I24-preteurs_annees!S24</f>
        <v>1.5247226692736149E-3</v>
      </c>
      <c r="T24" s="127">
        <f>preteurs_annees!J24-preteurs_annees!T24</f>
        <v>54427.797522935645</v>
      </c>
      <c r="U24" s="127">
        <f t="shared" si="1"/>
        <v>1051241.3712135421</v>
      </c>
      <c r="V24" s="119"/>
      <c r="W24" s="121"/>
      <c r="X24" s="119"/>
      <c r="Y24" s="122"/>
      <c r="Z24" s="123"/>
      <c r="AA24" s="123"/>
      <c r="AB24" s="123"/>
      <c r="AC24" s="127">
        <f t="shared" si="2"/>
        <v>7125257.4928681105</v>
      </c>
    </row>
    <row r="25" spans="1:29" s="96" customFormat="1">
      <c r="A25" s="125" t="str">
        <f t="shared" si="0"/>
        <v>vx_CDC</v>
      </c>
      <c r="B25" s="124" t="str">
        <f>preteurs_annees!C25</f>
        <v>CDC</v>
      </c>
      <c r="C25" s="117"/>
      <c r="D25" s="117"/>
      <c r="E25" s="118"/>
      <c r="F25" s="117"/>
      <c r="G25" s="126" t="str">
        <f>IF(LEFT(A25,3)="vx_","vx",INDEX(Categorie,MATCH($A25,emprunts!$A$2:$A$149,0)))</f>
        <v>vx</v>
      </c>
      <c r="H25" s="124">
        <f>preteurs_annees!A25</f>
        <v>2002</v>
      </c>
      <c r="I25" s="119"/>
      <c r="J25" s="119"/>
      <c r="K25" s="119"/>
      <c r="L25" s="119"/>
      <c r="M25" s="119"/>
      <c r="N25" s="120"/>
      <c r="O25" s="127">
        <f>preteurs_annees!E25-preteurs_annees!O25</f>
        <v>31726169.009999998</v>
      </c>
      <c r="P25" s="127"/>
      <c r="Q25" s="127">
        <f>preteurs_annees!G25-preteurs_annees!Q25</f>
        <v>2057192.72</v>
      </c>
      <c r="R25" s="127">
        <f>preteurs_annees!H25-preteurs_annees!R25</f>
        <v>3215434.1</v>
      </c>
      <c r="S25" s="127">
        <f>preteurs_annees!I25-preteurs_annees!S25</f>
        <v>0</v>
      </c>
      <c r="T25" s="127">
        <f>preteurs_annees!J25-preteurs_annees!T25</f>
        <v>471628.64000000007</v>
      </c>
      <c r="U25" s="127">
        <f t="shared" si="1"/>
        <v>5272626.82</v>
      </c>
      <c r="V25" s="119"/>
      <c r="W25" s="121"/>
      <c r="X25" s="119"/>
      <c r="Y25" s="122"/>
      <c r="Z25" s="123"/>
      <c r="AA25" s="123"/>
      <c r="AB25" s="123"/>
      <c r="AC25" s="127">
        <f t="shared" si="2"/>
        <v>33333886.059999999</v>
      </c>
    </row>
    <row r="26" spans="1:29" s="96" customFormat="1">
      <c r="A26" s="125" t="str">
        <f t="shared" si="0"/>
        <v>vx_Dexia CL</v>
      </c>
      <c r="B26" s="124" t="str">
        <f>preteurs_annees!C26</f>
        <v>Dexia CL</v>
      </c>
      <c r="C26" s="117"/>
      <c r="D26" s="117"/>
      <c r="E26" s="118"/>
      <c r="F26" s="117"/>
      <c r="G26" s="126" t="str">
        <f>IF(LEFT(A26,3)="vx_","vx",INDEX(Categorie,MATCH($A26,emprunts!$A$2:$A$149,0)))</f>
        <v>vx</v>
      </c>
      <c r="H26" s="124">
        <f>preteurs_annees!A26</f>
        <v>2002</v>
      </c>
      <c r="I26" s="119"/>
      <c r="J26" s="119"/>
      <c r="K26" s="119"/>
      <c r="L26" s="119"/>
      <c r="M26" s="119"/>
      <c r="N26" s="120"/>
      <c r="O26" s="127">
        <f>preteurs_annees!E26-preteurs_annees!O26</f>
        <v>32986080.280000001</v>
      </c>
      <c r="P26" s="127"/>
      <c r="Q26" s="127">
        <f>preteurs_annees!G26-preteurs_annees!Q26</f>
        <v>4147119.6899999995</v>
      </c>
      <c r="R26" s="127">
        <f>preteurs_annees!H26-preteurs_annees!R26</f>
        <v>3921760.2</v>
      </c>
      <c r="S26" s="127">
        <f>preteurs_annees!I26-preteurs_annees!S26</f>
        <v>0</v>
      </c>
      <c r="T26" s="127">
        <f>preteurs_annees!J26-preteurs_annees!T26</f>
        <v>428708.88000000012</v>
      </c>
      <c r="U26" s="127">
        <f t="shared" si="1"/>
        <v>8068879.8899999997</v>
      </c>
      <c r="V26" s="119"/>
      <c r="W26" s="121"/>
      <c r="X26" s="119"/>
      <c r="Y26" s="122"/>
      <c r="Z26" s="123"/>
      <c r="AA26" s="123"/>
      <c r="AB26" s="123"/>
      <c r="AC26" s="127">
        <f t="shared" si="2"/>
        <v>34946960.380000003</v>
      </c>
    </row>
    <row r="27" spans="1:29" s="96" customFormat="1">
      <c r="A27" s="125" t="str">
        <f t="shared" si="0"/>
        <v>vx_Caisse d'Épargne</v>
      </c>
      <c r="B27" s="124" t="str">
        <f>preteurs_annees!C27</f>
        <v>Caisse d'Épargne</v>
      </c>
      <c r="C27" s="117"/>
      <c r="D27" s="117"/>
      <c r="E27" s="118"/>
      <c r="F27" s="117"/>
      <c r="G27" s="126" t="str">
        <f>IF(LEFT(A27,3)="vx_","vx",INDEX(Categorie,MATCH($A27,emprunts!$A$2:$A$149,0)))</f>
        <v>vx</v>
      </c>
      <c r="H27" s="124">
        <f>preteurs_annees!A27</f>
        <v>2002</v>
      </c>
      <c r="I27" s="119"/>
      <c r="J27" s="119"/>
      <c r="K27" s="119"/>
      <c r="L27" s="119"/>
      <c r="M27" s="119"/>
      <c r="N27" s="120"/>
      <c r="O27" s="127">
        <f>preteurs_annees!E27-preteurs_annees!O27</f>
        <v>2612983.5599999987</v>
      </c>
      <c r="P27" s="127"/>
      <c r="Q27" s="127">
        <f>preteurs_annees!G27-preteurs_annees!Q27</f>
        <v>401869.39</v>
      </c>
      <c r="R27" s="127">
        <f>preteurs_annees!H27-preteurs_annees!R27</f>
        <v>1832117.8</v>
      </c>
      <c r="S27" s="127">
        <f>preteurs_annees!I27-preteurs_annees!S27</f>
        <v>0</v>
      </c>
      <c r="T27" s="127">
        <f>preteurs_annees!J27-preteurs_annees!T27</f>
        <v>225162.89</v>
      </c>
      <c r="U27" s="127">
        <f t="shared" si="1"/>
        <v>2233987.19</v>
      </c>
      <c r="V27" s="119"/>
      <c r="W27" s="121"/>
      <c r="X27" s="119"/>
      <c r="Y27" s="122"/>
      <c r="Z27" s="123"/>
      <c r="AA27" s="123"/>
      <c r="AB27" s="123"/>
      <c r="AC27" s="127">
        <f t="shared" si="2"/>
        <v>3529042.4599999986</v>
      </c>
    </row>
    <row r="28" spans="1:29" s="96" customFormat="1">
      <c r="A28" s="125" t="str">
        <f t="shared" si="0"/>
        <v>vx_Crédit Mutuel</v>
      </c>
      <c r="B28" s="124" t="str">
        <f>preteurs_annees!C28</f>
        <v>Crédit Mutuel</v>
      </c>
      <c r="C28" s="117"/>
      <c r="D28" s="117"/>
      <c r="E28" s="118"/>
      <c r="F28" s="117"/>
      <c r="G28" s="126" t="str">
        <f>IF(LEFT(A28,3)="vx_","vx",INDEX(Categorie,MATCH($A28,emprunts!$A$2:$A$149,0)))</f>
        <v>vx</v>
      </c>
      <c r="H28" s="124">
        <f>preteurs_annees!A28</f>
        <v>2002</v>
      </c>
      <c r="I28" s="119"/>
      <c r="J28" s="119"/>
      <c r="K28" s="119"/>
      <c r="L28" s="119"/>
      <c r="M28" s="119"/>
      <c r="N28" s="120"/>
      <c r="O28" s="127">
        <f>preteurs_annees!E28-preteurs_annees!O28</f>
        <v>2941555.1799999997</v>
      </c>
      <c r="P28" s="127"/>
      <c r="Q28" s="127">
        <f>preteurs_annees!G28-preteurs_annees!Q28</f>
        <v>178818.84000000003</v>
      </c>
      <c r="R28" s="127">
        <f>preteurs_annees!H28-preteurs_annees!R28</f>
        <v>39641.480000000003</v>
      </c>
      <c r="S28" s="127">
        <f>preteurs_annees!I28-preteurs_annees!S28</f>
        <v>0</v>
      </c>
      <c r="T28" s="127">
        <f>preteurs_annees!J28-preteurs_annees!T28</f>
        <v>0</v>
      </c>
      <c r="U28" s="127">
        <f t="shared" si="1"/>
        <v>218460.32000000004</v>
      </c>
      <c r="V28" s="119"/>
      <c r="W28" s="121"/>
      <c r="X28" s="119"/>
      <c r="Y28" s="122"/>
      <c r="Z28" s="123"/>
      <c r="AA28" s="123"/>
      <c r="AB28" s="123"/>
      <c r="AC28" s="127">
        <f t="shared" si="2"/>
        <v>2961375.92</v>
      </c>
    </row>
    <row r="29" spans="1:29" s="96" customFormat="1">
      <c r="A29" s="125" t="str">
        <f t="shared" si="0"/>
        <v>vx_Société générale</v>
      </c>
      <c r="B29" s="124" t="str">
        <f>preteurs_annees!C29</f>
        <v>Société générale</v>
      </c>
      <c r="C29" s="117"/>
      <c r="D29" s="117"/>
      <c r="E29" s="118"/>
      <c r="F29" s="117"/>
      <c r="G29" s="126" t="str">
        <f>IF(LEFT(A29,3)="vx_","vx",INDEX(Categorie,MATCH($A29,emprunts!$A$2:$A$149,0)))</f>
        <v>vx</v>
      </c>
      <c r="H29" s="124">
        <f>preteurs_annees!A29</f>
        <v>2002</v>
      </c>
      <c r="I29" s="119"/>
      <c r="J29" s="119"/>
      <c r="K29" s="119"/>
      <c r="L29" s="119"/>
      <c r="M29" s="119"/>
      <c r="N29" s="120"/>
      <c r="O29" s="127">
        <f>preteurs_annees!E29-preteurs_annees!O29</f>
        <v>2335990.7599999998</v>
      </c>
      <c r="P29" s="127"/>
      <c r="Q29" s="127">
        <f>preteurs_annees!G29-preteurs_annees!Q29</f>
        <v>172641.03</v>
      </c>
      <c r="R29" s="127">
        <f>preteurs_annees!H29-preteurs_annees!R29</f>
        <v>387053.87</v>
      </c>
      <c r="S29" s="127">
        <f>preteurs_annees!I29-preteurs_annees!S29</f>
        <v>0</v>
      </c>
      <c r="T29" s="127">
        <f>preteurs_annees!J29-preteurs_annees!T29</f>
        <v>85209.26</v>
      </c>
      <c r="U29" s="127">
        <f t="shared" si="1"/>
        <v>559694.9</v>
      </c>
      <c r="V29" s="119"/>
      <c r="W29" s="121"/>
      <c r="X29" s="119"/>
      <c r="Y29" s="122"/>
      <c r="Z29" s="123"/>
      <c r="AA29" s="123"/>
      <c r="AB29" s="123"/>
      <c r="AC29" s="127">
        <f t="shared" si="2"/>
        <v>2529517.6949999998</v>
      </c>
    </row>
    <row r="30" spans="1:29" s="96" customFormat="1">
      <c r="A30" s="125" t="str">
        <f t="shared" si="0"/>
        <v>vx_Crédit Foncier</v>
      </c>
      <c r="B30" s="124" t="str">
        <f>preteurs_annees!C30</f>
        <v>Crédit Foncier</v>
      </c>
      <c r="C30" s="117"/>
      <c r="D30" s="117"/>
      <c r="E30" s="118"/>
      <c r="F30" s="117"/>
      <c r="G30" s="126" t="str">
        <f>IF(LEFT(A30,3)="vx_","vx",INDEX(Categorie,MATCH($A30,emprunts!$A$2:$A$149,0)))</f>
        <v>vx</v>
      </c>
      <c r="H30" s="124">
        <f>preteurs_annees!A30</f>
        <v>2002</v>
      </c>
      <c r="I30" s="119"/>
      <c r="J30" s="119"/>
      <c r="K30" s="119"/>
      <c r="L30" s="119"/>
      <c r="M30" s="119"/>
      <c r="N30" s="120"/>
      <c r="O30" s="127">
        <f>preteurs_annees!E30-preteurs_annees!O30</f>
        <v>3499004.1</v>
      </c>
      <c r="P30" s="127"/>
      <c r="Q30" s="127">
        <f>preteurs_annees!G30-preteurs_annees!Q30</f>
        <v>292301.88</v>
      </c>
      <c r="R30" s="127">
        <f>preteurs_annees!H30-preteurs_annees!R30</f>
        <v>440586.88</v>
      </c>
      <c r="S30" s="127">
        <f>preteurs_annees!I30-preteurs_annees!S30</f>
        <v>0</v>
      </c>
      <c r="T30" s="127">
        <f>preteurs_annees!J30-preteurs_annees!T30</f>
        <v>0</v>
      </c>
      <c r="U30" s="127">
        <f t="shared" si="1"/>
        <v>732888.76</v>
      </c>
      <c r="V30" s="119"/>
      <c r="W30" s="121"/>
      <c r="X30" s="119"/>
      <c r="Y30" s="122"/>
      <c r="Z30" s="123"/>
      <c r="AA30" s="123"/>
      <c r="AB30" s="123"/>
      <c r="AC30" s="127">
        <f t="shared" si="2"/>
        <v>3719297.54</v>
      </c>
    </row>
    <row r="31" spans="1:29" s="96" customFormat="1">
      <c r="A31" s="125" t="str">
        <f t="shared" si="0"/>
        <v>vx_Auxifip CEPME</v>
      </c>
      <c r="B31" s="124" t="str">
        <f>preteurs_annees!C31</f>
        <v>Auxifip CEPME</v>
      </c>
      <c r="C31" s="117"/>
      <c r="D31" s="117"/>
      <c r="E31" s="118"/>
      <c r="F31" s="117"/>
      <c r="G31" s="126" t="str">
        <f>IF(LEFT(A31,3)="vx_","vx",INDEX(Categorie,MATCH($A31,emprunts!$A$2:$A$149,0)))</f>
        <v>vx</v>
      </c>
      <c r="H31" s="124">
        <f>preteurs_annees!A31</f>
        <v>2002</v>
      </c>
      <c r="I31" s="119"/>
      <c r="J31" s="119"/>
      <c r="K31" s="119"/>
      <c r="L31" s="119"/>
      <c r="M31" s="119"/>
      <c r="N31" s="120"/>
      <c r="O31" s="127">
        <f>preteurs_annees!E31-preteurs_annees!O31</f>
        <v>3347605.89</v>
      </c>
      <c r="P31" s="127"/>
      <c r="Q31" s="127">
        <f>preteurs_annees!G31-preteurs_annees!Q31</f>
        <v>284689.44</v>
      </c>
      <c r="R31" s="127">
        <f>preteurs_annees!H31-preteurs_annees!R31</f>
        <v>395771.36</v>
      </c>
      <c r="S31" s="127">
        <f>preteurs_annees!I31-preteurs_annees!S31</f>
        <v>0</v>
      </c>
      <c r="T31" s="127">
        <f>preteurs_annees!J31-preteurs_annees!T31</f>
        <v>0</v>
      </c>
      <c r="U31" s="127">
        <f t="shared" si="1"/>
        <v>680460.80000000005</v>
      </c>
      <c r="V31" s="119"/>
      <c r="W31" s="121"/>
      <c r="X31" s="119"/>
      <c r="Y31" s="122"/>
      <c r="Z31" s="123"/>
      <c r="AA31" s="123"/>
      <c r="AB31" s="123"/>
      <c r="AC31" s="127">
        <f t="shared" si="2"/>
        <v>3545491.5700000003</v>
      </c>
    </row>
    <row r="32" spans="1:29" s="96" customFormat="1">
      <c r="A32" s="125" t="str">
        <f t="shared" si="0"/>
        <v>vx_Natixis</v>
      </c>
      <c r="B32" s="124" t="str">
        <f>preteurs_annees!C32</f>
        <v>Natixis</v>
      </c>
      <c r="C32" s="117"/>
      <c r="D32" s="117"/>
      <c r="E32" s="118"/>
      <c r="F32" s="117"/>
      <c r="G32" s="126" t="str">
        <f>IF(LEFT(A32,3)="vx_","vx",INDEX(Categorie,MATCH($A32,emprunts!$A$2:$A$149,0)))</f>
        <v>vx</v>
      </c>
      <c r="H32" s="124">
        <f>preteurs_annees!A32</f>
        <v>2002</v>
      </c>
      <c r="I32" s="119"/>
      <c r="J32" s="119"/>
      <c r="K32" s="119"/>
      <c r="L32" s="119"/>
      <c r="M32" s="119"/>
      <c r="N32" s="120"/>
      <c r="O32" s="127">
        <f>preteurs_annees!E32-preteurs_annees!O32</f>
        <v>0</v>
      </c>
      <c r="P32" s="127"/>
      <c r="Q32" s="127">
        <f>preteurs_annees!G32-preteurs_annees!Q32</f>
        <v>108877.19</v>
      </c>
      <c r="R32" s="127">
        <f>preteurs_annees!H32-preteurs_annees!R32</f>
        <v>4611582.7699999996</v>
      </c>
      <c r="S32" s="127">
        <f>preteurs_annees!I32-preteurs_annees!S32</f>
        <v>0</v>
      </c>
      <c r="T32" s="127">
        <f>preteurs_annees!J32-preteurs_annees!T32</f>
        <v>95788.13</v>
      </c>
      <c r="U32" s="127">
        <f t="shared" si="1"/>
        <v>4720459.96</v>
      </c>
      <c r="V32" s="119"/>
      <c r="W32" s="121"/>
      <c r="X32" s="119"/>
      <c r="Y32" s="122"/>
      <c r="Z32" s="123"/>
      <c r="AA32" s="123"/>
      <c r="AB32" s="123"/>
      <c r="AC32" s="127">
        <f t="shared" si="2"/>
        <v>2305791.3849999998</v>
      </c>
    </row>
    <row r="33" spans="1:29" s="96" customFormat="1">
      <c r="A33" s="125" t="str">
        <f t="shared" si="0"/>
        <v>vx_Krebitbank BW</v>
      </c>
      <c r="B33" s="124" t="str">
        <f>preteurs_annees!C33</f>
        <v>Krebitbank BW</v>
      </c>
      <c r="C33" s="117"/>
      <c r="D33" s="117"/>
      <c r="E33" s="118"/>
      <c r="F33" s="117"/>
      <c r="G33" s="126" t="str">
        <f>IF(LEFT(A33,3)="vx_","vx",INDEX(Categorie,MATCH($A33,emprunts!$A$2:$A$149,0)))</f>
        <v>vx</v>
      </c>
      <c r="H33" s="124">
        <f>preteurs_annees!A33</f>
        <v>2002</v>
      </c>
      <c r="I33" s="119"/>
      <c r="J33" s="119"/>
      <c r="K33" s="119"/>
      <c r="L33" s="119"/>
      <c r="M33" s="119"/>
      <c r="N33" s="120"/>
      <c r="O33" s="127">
        <f>preteurs_annees!E33-preteurs_annees!O33</f>
        <v>0</v>
      </c>
      <c r="P33" s="127"/>
      <c r="Q33" s="127">
        <f>preteurs_annees!G33-preteurs_annees!Q33</f>
        <v>390183.54</v>
      </c>
      <c r="R33" s="127">
        <f>preteurs_annees!H33-preteurs_annees!R33</f>
        <v>6317807.25</v>
      </c>
      <c r="S33" s="127">
        <f>preteurs_annees!I33-preteurs_annees!S33</f>
        <v>0</v>
      </c>
      <c r="T33" s="127">
        <f>preteurs_annees!J33-preteurs_annees!T33</f>
        <v>0</v>
      </c>
      <c r="U33" s="127">
        <f t="shared" si="1"/>
        <v>6707990.79</v>
      </c>
      <c r="V33" s="119"/>
      <c r="W33" s="121"/>
      <c r="X33" s="119"/>
      <c r="Y33" s="122"/>
      <c r="Z33" s="123"/>
      <c r="AA33" s="123"/>
      <c r="AB33" s="123"/>
      <c r="AC33" s="127">
        <f t="shared" si="2"/>
        <v>3158903.625</v>
      </c>
    </row>
    <row r="34" spans="1:29" s="96" customFormat="1">
      <c r="A34" s="125" t="str">
        <f t="shared" si="0"/>
        <v>vx_Deutsche Hypothekenbank</v>
      </c>
      <c r="B34" s="124" t="str">
        <f>preteurs_annees!C34</f>
        <v>Deutsche Hypothekenbank</v>
      </c>
      <c r="C34" s="117"/>
      <c r="D34" s="117"/>
      <c r="E34" s="118"/>
      <c r="F34" s="117"/>
      <c r="G34" s="126" t="str">
        <f>IF(LEFT(A34,3)="vx_","vx",INDEX(Categorie,MATCH($A34,emprunts!$A$2:$A$149,0)))</f>
        <v>vx</v>
      </c>
      <c r="H34" s="124">
        <f>preteurs_annees!A34</f>
        <v>2002</v>
      </c>
      <c r="I34" s="119"/>
      <c r="J34" s="119"/>
      <c r="K34" s="119"/>
      <c r="L34" s="119"/>
      <c r="M34" s="119"/>
      <c r="N34" s="120"/>
      <c r="O34" s="127">
        <f>preteurs_annees!E34-preteurs_annees!O34</f>
        <v>2588100.44</v>
      </c>
      <c r="P34" s="127"/>
      <c r="Q34" s="127">
        <f>preteurs_annees!G34-preteurs_annees!Q34</f>
        <v>238709.1</v>
      </c>
      <c r="R34" s="127">
        <f>preteurs_annees!H34-preteurs_annees!R34</f>
        <v>220240.5</v>
      </c>
      <c r="S34" s="127">
        <f>preteurs_annees!I34-preteurs_annees!S34</f>
        <v>0</v>
      </c>
      <c r="T34" s="127">
        <f>preteurs_annees!J34-preteurs_annees!T34</f>
        <v>0</v>
      </c>
      <c r="U34" s="127">
        <f t="shared" si="1"/>
        <v>458949.6</v>
      </c>
      <c r="V34" s="119"/>
      <c r="W34" s="121"/>
      <c r="X34" s="119"/>
      <c r="Y34" s="122"/>
      <c r="Z34" s="123"/>
      <c r="AA34" s="123"/>
      <c r="AB34" s="123"/>
      <c r="AC34" s="127">
        <f t="shared" si="2"/>
        <v>2698220.69</v>
      </c>
    </row>
    <row r="35" spans="1:29" s="96" customFormat="1">
      <c r="A35" s="125" t="str">
        <f t="shared" si="0"/>
        <v>vx_Crédit Agricole</v>
      </c>
      <c r="B35" s="124" t="str">
        <f>preteurs_annees!C35</f>
        <v>Crédit Agricole</v>
      </c>
      <c r="C35" s="117"/>
      <c r="D35" s="117"/>
      <c r="E35" s="118"/>
      <c r="F35" s="117"/>
      <c r="G35" s="126" t="str">
        <f>IF(LEFT(A35,3)="vx_","vx",INDEX(Categorie,MATCH($A35,emprunts!$A$2:$A$149,0)))</f>
        <v>vx</v>
      </c>
      <c r="H35" s="124">
        <f>preteurs_annees!A35</f>
        <v>2002</v>
      </c>
      <c r="I35" s="119"/>
      <c r="J35" s="119"/>
      <c r="K35" s="119"/>
      <c r="L35" s="119"/>
      <c r="M35" s="119"/>
      <c r="N35" s="120"/>
      <c r="O35" s="127">
        <f>preteurs_annees!E35-preteurs_annees!O35</f>
        <v>0</v>
      </c>
      <c r="P35" s="127"/>
      <c r="Q35" s="127">
        <f>preteurs_annees!G35-preteurs_annees!Q35</f>
        <v>0</v>
      </c>
      <c r="R35" s="127">
        <f>preteurs_annees!H35-preteurs_annees!R35</f>
        <v>0</v>
      </c>
      <c r="S35" s="127">
        <f>preteurs_annees!I35-preteurs_annees!S35</f>
        <v>0</v>
      </c>
      <c r="T35" s="127">
        <f>preteurs_annees!J35-preteurs_annees!T35</f>
        <v>0</v>
      </c>
      <c r="U35" s="127">
        <f t="shared" si="1"/>
        <v>0</v>
      </c>
      <c r="V35" s="119"/>
      <c r="W35" s="121"/>
      <c r="X35" s="119"/>
      <c r="Y35" s="122"/>
      <c r="Z35" s="123"/>
      <c r="AA35" s="123"/>
      <c r="AB35" s="123"/>
      <c r="AC35" s="127">
        <f t="shared" si="2"/>
        <v>0</v>
      </c>
    </row>
    <row r="36" spans="1:29" s="96" customFormat="1">
      <c r="A36" s="125" t="str">
        <f t="shared" si="0"/>
        <v>vx_Rheinboden Hypothekenbank</v>
      </c>
      <c r="B36" s="124" t="str">
        <f>preteurs_annees!C36</f>
        <v>Rheinboden Hypothekenbank</v>
      </c>
      <c r="C36" s="117"/>
      <c r="D36" s="117"/>
      <c r="E36" s="118"/>
      <c r="F36" s="117"/>
      <c r="G36" s="126" t="str">
        <f>IF(LEFT(A36,3)="vx_","vx",INDEX(Categorie,MATCH($A36,emprunts!$A$2:$A$149,0)))</f>
        <v>vx</v>
      </c>
      <c r="H36" s="124">
        <f>preteurs_annees!A36</f>
        <v>2002</v>
      </c>
      <c r="I36" s="119"/>
      <c r="J36" s="119"/>
      <c r="K36" s="119"/>
      <c r="L36" s="119"/>
      <c r="M36" s="119"/>
      <c r="N36" s="120"/>
      <c r="O36" s="127">
        <f>preteurs_annees!E36-preteurs_annees!O36</f>
        <v>6155738.8700000001</v>
      </c>
      <c r="P36" s="127"/>
      <c r="Q36" s="127">
        <f>preteurs_annees!G36-preteurs_annees!Q36</f>
        <v>383098.06</v>
      </c>
      <c r="R36" s="127">
        <f>preteurs_annees!H36-preteurs_annees!R36</f>
        <v>645621.59</v>
      </c>
      <c r="S36" s="127">
        <f>preteurs_annees!I36-preteurs_annees!S36</f>
        <v>0</v>
      </c>
      <c r="T36" s="127">
        <f>preteurs_annees!J36-preteurs_annees!T36</f>
        <v>49694.13</v>
      </c>
      <c r="U36" s="127">
        <f t="shared" si="1"/>
        <v>1028719.6499999999</v>
      </c>
      <c r="V36" s="119"/>
      <c r="W36" s="121"/>
      <c r="X36" s="119"/>
      <c r="Y36" s="122"/>
      <c r="Z36" s="123"/>
      <c r="AA36" s="123"/>
      <c r="AB36" s="123"/>
      <c r="AC36" s="127">
        <f t="shared" si="2"/>
        <v>6478549.665</v>
      </c>
    </row>
    <row r="37" spans="1:29" s="96" customFormat="1">
      <c r="A37" s="125" t="str">
        <f t="shared" si="0"/>
        <v>vx_CDC</v>
      </c>
      <c r="B37" s="124" t="str">
        <f>preteurs_annees!C37</f>
        <v>CDC</v>
      </c>
      <c r="C37" s="117"/>
      <c r="D37" s="117"/>
      <c r="E37" s="118"/>
      <c r="F37" s="117"/>
      <c r="G37" s="126" t="str">
        <f>IF(LEFT(A37,3)="vx_","vx",INDEX(Categorie,MATCH($A37,emprunts!$A$2:$A$149,0)))</f>
        <v>vx</v>
      </c>
      <c r="H37" s="124">
        <f>preteurs_annees!A37</f>
        <v>2003</v>
      </c>
      <c r="I37" s="119"/>
      <c r="J37" s="119"/>
      <c r="K37" s="119"/>
      <c r="L37" s="119"/>
      <c r="M37" s="119"/>
      <c r="N37" s="120"/>
      <c r="O37" s="127">
        <f>preteurs_annees!E37-preteurs_annees!O37</f>
        <v>29708450.129999995</v>
      </c>
      <c r="P37" s="127"/>
      <c r="Q37" s="127">
        <f>preteurs_annees!G37-preteurs_annees!Q37</f>
        <v>1717945.0700000003</v>
      </c>
      <c r="R37" s="127">
        <f>preteurs_annees!H37-preteurs_annees!R37</f>
        <v>2932413.0900000003</v>
      </c>
      <c r="S37" s="127">
        <f>preteurs_annees!I37-preteurs_annees!S37</f>
        <v>0</v>
      </c>
      <c r="T37" s="127">
        <f>preteurs_annees!J37-preteurs_annees!T37</f>
        <v>444572.45999999996</v>
      </c>
      <c r="U37" s="127">
        <f t="shared" si="1"/>
        <v>4650358.16</v>
      </c>
      <c r="V37" s="119"/>
      <c r="W37" s="121"/>
      <c r="X37" s="119"/>
      <c r="Y37" s="122"/>
      <c r="Z37" s="123"/>
      <c r="AA37" s="123"/>
      <c r="AB37" s="123"/>
      <c r="AC37" s="127">
        <f t="shared" si="2"/>
        <v>31174656.674999997</v>
      </c>
    </row>
    <row r="38" spans="1:29" s="96" customFormat="1">
      <c r="A38" s="125" t="str">
        <f t="shared" si="0"/>
        <v>vx_Dexia CL</v>
      </c>
      <c r="B38" s="124" t="str">
        <f>preteurs_annees!C38</f>
        <v>Dexia CL</v>
      </c>
      <c r="C38" s="117"/>
      <c r="D38" s="117"/>
      <c r="E38" s="118"/>
      <c r="F38" s="117"/>
      <c r="G38" s="126" t="str">
        <f>IF(LEFT(A38,3)="vx_","vx",INDEX(Categorie,MATCH($A38,emprunts!$A$2:$A$149,0)))</f>
        <v>vx</v>
      </c>
      <c r="H38" s="124">
        <f>preteurs_annees!A38</f>
        <v>2003</v>
      </c>
      <c r="I38" s="119"/>
      <c r="J38" s="119"/>
      <c r="K38" s="119"/>
      <c r="L38" s="119"/>
      <c r="M38" s="119"/>
      <c r="N38" s="120"/>
      <c r="O38" s="127">
        <f>preteurs_annees!E38-preteurs_annees!O38</f>
        <v>4476391.3300000131</v>
      </c>
      <c r="P38" s="127"/>
      <c r="Q38" s="127">
        <f>preteurs_annees!G38-preteurs_annees!Q38</f>
        <v>1396401.19</v>
      </c>
      <c r="R38" s="127">
        <f>preteurs_annees!H38-preteurs_annees!R38</f>
        <v>5679145.3899999997</v>
      </c>
      <c r="S38" s="127">
        <f>preteurs_annees!I38-preteurs_annees!S38</f>
        <v>0</v>
      </c>
      <c r="T38" s="127">
        <f>preteurs_annees!J38-preteurs_annees!T38</f>
        <v>92485.990000000224</v>
      </c>
      <c r="U38" s="127">
        <f t="shared" si="1"/>
        <v>7075546.5800000001</v>
      </c>
      <c r="V38" s="119"/>
      <c r="W38" s="121"/>
      <c r="X38" s="119"/>
      <c r="Y38" s="122"/>
      <c r="Z38" s="123"/>
      <c r="AA38" s="123"/>
      <c r="AB38" s="123"/>
      <c r="AC38" s="127">
        <f t="shared" si="2"/>
        <v>7315964.0250000134</v>
      </c>
    </row>
    <row r="39" spans="1:29" s="96" customFormat="1">
      <c r="A39" s="125" t="str">
        <f t="shared" si="0"/>
        <v>vx_Caisse d'Épargne</v>
      </c>
      <c r="B39" s="124" t="str">
        <f>preteurs_annees!C39</f>
        <v>Caisse d'Épargne</v>
      </c>
      <c r="C39" s="117"/>
      <c r="D39" s="117"/>
      <c r="E39" s="118"/>
      <c r="F39" s="117"/>
      <c r="G39" s="126" t="str">
        <f>IF(LEFT(A39,3)="vx_","vx",INDEX(Categorie,MATCH($A39,emprunts!$A$2:$A$149,0)))</f>
        <v>vx</v>
      </c>
      <c r="H39" s="124">
        <f>preteurs_annees!A39</f>
        <v>2003</v>
      </c>
      <c r="I39" s="119"/>
      <c r="J39" s="119"/>
      <c r="K39" s="119"/>
      <c r="L39" s="119"/>
      <c r="M39" s="119"/>
      <c r="N39" s="120"/>
      <c r="O39" s="127">
        <f>preteurs_annees!E39-preteurs_annees!O39</f>
        <v>1322618.4099999983</v>
      </c>
      <c r="P39" s="127"/>
      <c r="Q39" s="127">
        <f>preteurs_annees!G39-preteurs_annees!Q39</f>
        <v>157949.70999999996</v>
      </c>
      <c r="R39" s="127">
        <f>preteurs_annees!H39-preteurs_annees!R39</f>
        <v>1924960.6399999997</v>
      </c>
      <c r="S39" s="127">
        <f>preteurs_annees!I39-preteurs_annees!S39</f>
        <v>0</v>
      </c>
      <c r="T39" s="127">
        <f>preteurs_annees!J39-preteurs_annees!T39</f>
        <v>23252.390000000014</v>
      </c>
      <c r="U39" s="127">
        <f t="shared" si="1"/>
        <v>2082910.3499999996</v>
      </c>
      <c r="V39" s="119"/>
      <c r="W39" s="121"/>
      <c r="X39" s="119"/>
      <c r="Y39" s="122"/>
      <c r="Z39" s="123"/>
      <c r="AA39" s="123"/>
      <c r="AB39" s="123"/>
      <c r="AC39" s="127">
        <f t="shared" si="2"/>
        <v>2285098.7299999981</v>
      </c>
    </row>
    <row r="40" spans="1:29" s="96" customFormat="1">
      <c r="A40" s="125" t="str">
        <f t="shared" si="0"/>
        <v>vx_Crédit Mutuel</v>
      </c>
      <c r="B40" s="124" t="str">
        <f>preteurs_annees!C40</f>
        <v>Crédit Mutuel</v>
      </c>
      <c r="C40" s="117"/>
      <c r="D40" s="117"/>
      <c r="E40" s="118"/>
      <c r="F40" s="117"/>
      <c r="G40" s="126" t="str">
        <f>IF(LEFT(A40,3)="vx_","vx",INDEX(Categorie,MATCH($A40,emprunts!$A$2:$A$149,0)))</f>
        <v>vx</v>
      </c>
      <c r="H40" s="124">
        <f>preteurs_annees!A40</f>
        <v>2003</v>
      </c>
      <c r="I40" s="119"/>
      <c r="J40" s="119"/>
      <c r="K40" s="119"/>
      <c r="L40" s="119"/>
      <c r="M40" s="119"/>
      <c r="N40" s="120"/>
      <c r="O40" s="127">
        <f>preteurs_annees!E40-preteurs_annees!O40</f>
        <v>3111056.14</v>
      </c>
      <c r="P40" s="127"/>
      <c r="Q40" s="127">
        <f>preteurs_annees!G40-preteurs_annees!Q40</f>
        <v>130226.69999999998</v>
      </c>
      <c r="R40" s="127">
        <f>preteurs_annees!H40-preteurs_annees!R40</f>
        <v>43803.839999999997</v>
      </c>
      <c r="S40" s="127">
        <f>preteurs_annees!I40-preteurs_annees!S40</f>
        <v>0</v>
      </c>
      <c r="T40" s="127">
        <f>preteurs_annees!J40-preteurs_annees!T40</f>
        <v>0</v>
      </c>
      <c r="U40" s="127">
        <f t="shared" si="1"/>
        <v>174030.53999999998</v>
      </c>
      <c r="V40" s="119"/>
      <c r="W40" s="121"/>
      <c r="X40" s="119"/>
      <c r="Y40" s="122"/>
      <c r="Z40" s="123"/>
      <c r="AA40" s="123"/>
      <c r="AB40" s="123"/>
      <c r="AC40" s="127">
        <f t="shared" si="2"/>
        <v>3132958.06</v>
      </c>
    </row>
    <row r="41" spans="1:29" s="96" customFormat="1">
      <c r="A41" s="125" t="str">
        <f t="shared" si="0"/>
        <v>vx_Société générale</v>
      </c>
      <c r="B41" s="124" t="str">
        <f>preteurs_annees!C41</f>
        <v>Société générale</v>
      </c>
      <c r="C41" s="117"/>
      <c r="D41" s="117"/>
      <c r="E41" s="118"/>
      <c r="F41" s="117"/>
      <c r="G41" s="126" t="str">
        <f>IF(LEFT(A41,3)="vx_","vx",INDEX(Categorie,MATCH($A41,emprunts!$A$2:$A$149,0)))</f>
        <v>vx</v>
      </c>
      <c r="H41" s="124">
        <f>preteurs_annees!A41</f>
        <v>2003</v>
      </c>
      <c r="I41" s="119"/>
      <c r="J41" s="119"/>
      <c r="K41" s="119"/>
      <c r="L41" s="119"/>
      <c r="M41" s="119"/>
      <c r="N41" s="120"/>
      <c r="O41" s="127">
        <f>preteurs_annees!E41-preteurs_annees!O41</f>
        <v>1924397.67</v>
      </c>
      <c r="P41" s="127"/>
      <c r="Q41" s="127">
        <f>preteurs_annees!G41-preteurs_annees!Q41</f>
        <v>148101.81</v>
      </c>
      <c r="R41" s="127">
        <f>preteurs_annees!H41-preteurs_annees!R41</f>
        <v>411593.1</v>
      </c>
      <c r="S41" s="127">
        <f>preteurs_annees!I41-preteurs_annees!S41</f>
        <v>0</v>
      </c>
      <c r="T41" s="127">
        <f>preteurs_annees!J41-preteurs_annees!T41</f>
        <v>70003.91</v>
      </c>
      <c r="U41" s="127">
        <f t="shared" si="1"/>
        <v>559694.90999999992</v>
      </c>
      <c r="V41" s="119"/>
      <c r="W41" s="121"/>
      <c r="X41" s="119"/>
      <c r="Y41" s="122"/>
      <c r="Z41" s="123"/>
      <c r="AA41" s="123"/>
      <c r="AB41" s="123"/>
      <c r="AC41" s="127">
        <f t="shared" si="2"/>
        <v>2130194.2199999997</v>
      </c>
    </row>
    <row r="42" spans="1:29" s="96" customFormat="1">
      <c r="A42" s="125" t="str">
        <f t="shared" si="0"/>
        <v>vx_Crédit Foncier</v>
      </c>
      <c r="B42" s="124" t="str">
        <f>preteurs_annees!C42</f>
        <v>Crédit Foncier</v>
      </c>
      <c r="C42" s="117"/>
      <c r="D42" s="117"/>
      <c r="E42" s="118"/>
      <c r="F42" s="117"/>
      <c r="G42" s="126" t="str">
        <f>IF(LEFT(A42,3)="vx_","vx",INDEX(Categorie,MATCH($A42,emprunts!$A$2:$A$149,0)))</f>
        <v>vx</v>
      </c>
      <c r="H42" s="124">
        <f>preteurs_annees!A42</f>
        <v>2003</v>
      </c>
      <c r="I42" s="119"/>
      <c r="J42" s="119"/>
      <c r="K42" s="119"/>
      <c r="L42" s="119"/>
      <c r="M42" s="119"/>
      <c r="N42" s="120"/>
      <c r="O42" s="127">
        <f>preteurs_annees!E42-preteurs_annees!O42</f>
        <v>2106447.29</v>
      </c>
      <c r="P42" s="127"/>
      <c r="Q42" s="127">
        <f>preteurs_annees!G42-preteurs_annees!Q42</f>
        <v>254591.71</v>
      </c>
      <c r="R42" s="127">
        <f>preteurs_annees!H42-preteurs_annees!R42</f>
        <v>1392556.81</v>
      </c>
      <c r="S42" s="127">
        <f>preteurs_annees!I42-preteurs_annees!S42</f>
        <v>0</v>
      </c>
      <c r="T42" s="127">
        <f>preteurs_annees!J42-preteurs_annees!T42</f>
        <v>0</v>
      </c>
      <c r="U42" s="127">
        <f t="shared" si="1"/>
        <v>1647148.52</v>
      </c>
      <c r="V42" s="119"/>
      <c r="W42" s="121"/>
      <c r="X42" s="119"/>
      <c r="Y42" s="122"/>
      <c r="Z42" s="123"/>
      <c r="AA42" s="123"/>
      <c r="AB42" s="123"/>
      <c r="AC42" s="127">
        <f t="shared" si="2"/>
        <v>2802725.6950000003</v>
      </c>
    </row>
    <row r="43" spans="1:29" s="96" customFormat="1">
      <c r="A43" s="125" t="str">
        <f t="shared" si="0"/>
        <v>vx_Auxifip CEPME</v>
      </c>
      <c r="B43" s="124" t="str">
        <f>preteurs_annees!C43</f>
        <v>Auxifip CEPME</v>
      </c>
      <c r="C43" s="117"/>
      <c r="D43" s="117"/>
      <c r="E43" s="118"/>
      <c r="F43" s="117"/>
      <c r="G43" s="126" t="str">
        <f>IF(LEFT(A43,3)="vx_","vx",INDEX(Categorie,MATCH($A43,emprunts!$A$2:$A$149,0)))</f>
        <v>vx</v>
      </c>
      <c r="H43" s="124">
        <f>preteurs_annees!A43</f>
        <v>2003</v>
      </c>
      <c r="I43" s="119"/>
      <c r="J43" s="119"/>
      <c r="K43" s="119"/>
      <c r="L43" s="119"/>
      <c r="M43" s="119"/>
      <c r="N43" s="120"/>
      <c r="O43" s="127">
        <f>preteurs_annees!E43-preteurs_annees!O43</f>
        <v>2227999.54</v>
      </c>
      <c r="P43" s="127"/>
      <c r="Q43" s="127">
        <f>preteurs_annees!G43-preteurs_annees!Q43</f>
        <v>222918.85</v>
      </c>
      <c r="R43" s="127">
        <f>preteurs_annees!H43-preteurs_annees!R43</f>
        <v>1119606.3500000001</v>
      </c>
      <c r="S43" s="127">
        <f>preteurs_annees!I43-preteurs_annees!S43</f>
        <v>0</v>
      </c>
      <c r="T43" s="127">
        <f>preteurs_annees!J43-preteurs_annees!T43</f>
        <v>0</v>
      </c>
      <c r="U43" s="127">
        <f t="shared" si="1"/>
        <v>1342525.2000000002</v>
      </c>
      <c r="V43" s="119"/>
      <c r="W43" s="121"/>
      <c r="X43" s="119"/>
      <c r="Y43" s="122"/>
      <c r="Z43" s="123"/>
      <c r="AA43" s="123"/>
      <c r="AB43" s="123"/>
      <c r="AC43" s="127">
        <f t="shared" si="2"/>
        <v>2787802.7149999999</v>
      </c>
    </row>
    <row r="44" spans="1:29" s="96" customFormat="1">
      <c r="A44" s="125" t="str">
        <f t="shared" si="0"/>
        <v>vx_Natixis</v>
      </c>
      <c r="B44" s="124" t="str">
        <f>preteurs_annees!C44</f>
        <v>Natixis</v>
      </c>
      <c r="C44" s="117"/>
      <c r="D44" s="117"/>
      <c r="E44" s="118"/>
      <c r="F44" s="117"/>
      <c r="G44" s="126" t="str">
        <f>IF(LEFT(A44,3)="vx_","vx",INDEX(Categorie,MATCH($A44,emprunts!$A$2:$A$149,0)))</f>
        <v>vx</v>
      </c>
      <c r="H44" s="124">
        <f>preteurs_annees!A44</f>
        <v>2003</v>
      </c>
      <c r="I44" s="119"/>
      <c r="J44" s="119"/>
      <c r="K44" s="119"/>
      <c r="L44" s="119"/>
      <c r="M44" s="119"/>
      <c r="N44" s="120"/>
      <c r="O44" s="127">
        <f>preteurs_annees!E44-preteurs_annees!O44</f>
        <v>0</v>
      </c>
      <c r="P44" s="127"/>
      <c r="Q44" s="127">
        <f>preteurs_annees!G44-preteurs_annees!Q44</f>
        <v>0</v>
      </c>
      <c r="R44" s="127">
        <f>preteurs_annees!H44-preteurs_annees!R44</f>
        <v>0</v>
      </c>
      <c r="S44" s="127">
        <f>preteurs_annees!I44-preteurs_annees!S44</f>
        <v>0</v>
      </c>
      <c r="T44" s="127">
        <f>preteurs_annees!J44-preteurs_annees!T44</f>
        <v>0</v>
      </c>
      <c r="U44" s="127">
        <f t="shared" si="1"/>
        <v>0</v>
      </c>
      <c r="V44" s="119"/>
      <c r="W44" s="121"/>
      <c r="X44" s="119"/>
      <c r="Y44" s="122"/>
      <c r="Z44" s="123"/>
      <c r="AA44" s="123"/>
      <c r="AB44" s="123"/>
      <c r="AC44" s="127">
        <f t="shared" si="2"/>
        <v>0</v>
      </c>
    </row>
    <row r="45" spans="1:29" s="96" customFormat="1">
      <c r="A45" s="125" t="str">
        <f t="shared" si="0"/>
        <v>vx_Deutsche Hypothekenbank</v>
      </c>
      <c r="B45" s="124" t="str">
        <f>preteurs_annees!C45</f>
        <v>Deutsche Hypothekenbank</v>
      </c>
      <c r="C45" s="117"/>
      <c r="D45" s="117"/>
      <c r="E45" s="118"/>
      <c r="F45" s="117"/>
      <c r="G45" s="126" t="str">
        <f>IF(LEFT(A45,3)="vx_","vx",INDEX(Categorie,MATCH($A45,emprunts!$A$2:$A$149,0)))</f>
        <v>vx</v>
      </c>
      <c r="H45" s="124">
        <f>preteurs_annees!A45</f>
        <v>2003</v>
      </c>
      <c r="I45" s="119"/>
      <c r="J45" s="119"/>
      <c r="K45" s="119"/>
      <c r="L45" s="119"/>
      <c r="M45" s="119"/>
      <c r="N45" s="120"/>
      <c r="O45" s="127">
        <f>preteurs_annees!E45-preteurs_annees!O45</f>
        <v>2349139.5</v>
      </c>
      <c r="P45" s="127"/>
      <c r="Q45" s="127">
        <f>preteurs_annees!G45-preteurs_annees!Q45</f>
        <v>219988.66</v>
      </c>
      <c r="R45" s="127">
        <f>preteurs_annees!H45-preteurs_annees!R45</f>
        <v>238960.94</v>
      </c>
      <c r="S45" s="127">
        <f>preteurs_annees!I45-preteurs_annees!S45</f>
        <v>0</v>
      </c>
      <c r="T45" s="127">
        <f>preteurs_annees!J45-preteurs_annees!T45</f>
        <v>0</v>
      </c>
      <c r="U45" s="127">
        <f t="shared" si="1"/>
        <v>458949.6</v>
      </c>
      <c r="V45" s="119"/>
      <c r="W45" s="121"/>
      <c r="X45" s="119"/>
      <c r="Y45" s="122"/>
      <c r="Z45" s="123"/>
      <c r="AA45" s="123"/>
      <c r="AB45" s="123"/>
      <c r="AC45" s="127">
        <f t="shared" si="2"/>
        <v>2468619.9700000002</v>
      </c>
    </row>
    <row r="46" spans="1:29" s="96" customFormat="1">
      <c r="A46" s="125" t="str">
        <f t="shared" si="0"/>
        <v>vx_Crédit Agricole</v>
      </c>
      <c r="B46" s="124" t="str">
        <f>preteurs_annees!C46</f>
        <v>Crédit Agricole</v>
      </c>
      <c r="C46" s="117"/>
      <c r="D46" s="117"/>
      <c r="E46" s="118"/>
      <c r="F46" s="117"/>
      <c r="G46" s="126" t="str">
        <f>IF(LEFT(A46,3)="vx_","vx",INDEX(Categorie,MATCH($A46,emprunts!$A$2:$A$149,0)))</f>
        <v>vx</v>
      </c>
      <c r="H46" s="124">
        <f>preteurs_annees!A46</f>
        <v>2003</v>
      </c>
      <c r="I46" s="119"/>
      <c r="J46" s="119"/>
      <c r="K46" s="119"/>
      <c r="L46" s="119"/>
      <c r="M46" s="119"/>
      <c r="N46" s="120"/>
      <c r="O46" s="127">
        <f>preteurs_annees!E46-preteurs_annees!O46</f>
        <v>0</v>
      </c>
      <c r="P46" s="127"/>
      <c r="Q46" s="127">
        <f>preteurs_annees!G46-preteurs_annees!Q46</f>
        <v>0</v>
      </c>
      <c r="R46" s="127">
        <f>preteurs_annees!H46-preteurs_annees!R46</f>
        <v>0</v>
      </c>
      <c r="S46" s="127">
        <f>preteurs_annees!I46-preteurs_annees!S46</f>
        <v>0</v>
      </c>
      <c r="T46" s="127">
        <f>preteurs_annees!J46-preteurs_annees!T46</f>
        <v>0</v>
      </c>
      <c r="U46" s="127">
        <f t="shared" si="1"/>
        <v>0</v>
      </c>
      <c r="V46" s="119"/>
      <c r="W46" s="121"/>
      <c r="X46" s="119"/>
      <c r="Y46" s="122"/>
      <c r="Z46" s="123"/>
      <c r="AA46" s="123"/>
      <c r="AB46" s="123"/>
      <c r="AC46" s="127">
        <f t="shared" si="2"/>
        <v>0</v>
      </c>
    </row>
    <row r="47" spans="1:29" s="96" customFormat="1">
      <c r="A47" s="125" t="str">
        <f t="shared" si="0"/>
        <v>vx_Rheinboden Hypothekenbank</v>
      </c>
      <c r="B47" s="124" t="str">
        <f>preteurs_annees!C47</f>
        <v>Rheinboden Hypothekenbank</v>
      </c>
      <c r="C47" s="117"/>
      <c r="D47" s="117"/>
      <c r="E47" s="118"/>
      <c r="F47" s="117"/>
      <c r="G47" s="126" t="str">
        <f>IF(LEFT(A47,3)="vx_","vx",INDEX(Categorie,MATCH($A47,emprunts!$A$2:$A$149,0)))</f>
        <v>vx</v>
      </c>
      <c r="H47" s="124">
        <f>preteurs_annees!A47</f>
        <v>2003</v>
      </c>
      <c r="I47" s="119"/>
      <c r="J47" s="119"/>
      <c r="K47" s="119"/>
      <c r="L47" s="119"/>
      <c r="M47" s="119"/>
      <c r="N47" s="120"/>
      <c r="O47" s="127">
        <f>preteurs_annees!E47-preteurs_annees!O47</f>
        <v>5510117.2800000003</v>
      </c>
      <c r="P47" s="127"/>
      <c r="Q47" s="127">
        <f>preteurs_annees!G47-preteurs_annees!Q47</f>
        <v>345444.46</v>
      </c>
      <c r="R47" s="127">
        <f>preteurs_annees!H47-preteurs_annees!R47</f>
        <v>645621.59</v>
      </c>
      <c r="S47" s="127">
        <f>preteurs_annees!I47-preteurs_annees!S47</f>
        <v>0</v>
      </c>
      <c r="T47" s="127">
        <f>preteurs_annees!J47-preteurs_annees!T47</f>
        <v>97583.06</v>
      </c>
      <c r="U47" s="127">
        <f t="shared" si="1"/>
        <v>991066.05</v>
      </c>
      <c r="V47" s="119"/>
      <c r="W47" s="121"/>
      <c r="X47" s="119"/>
      <c r="Y47" s="122"/>
      <c r="Z47" s="123"/>
      <c r="AA47" s="123"/>
      <c r="AB47" s="123"/>
      <c r="AC47" s="127">
        <f t="shared" si="2"/>
        <v>5832928.0750000002</v>
      </c>
    </row>
    <row r="48" spans="1:29" s="96" customFormat="1">
      <c r="A48" s="125" t="str">
        <f t="shared" si="0"/>
        <v>vx_CDC</v>
      </c>
      <c r="B48" s="124" t="str">
        <f>preteurs_annees!C48</f>
        <v>CDC</v>
      </c>
      <c r="C48" s="117"/>
      <c r="D48" s="117"/>
      <c r="E48" s="118"/>
      <c r="F48" s="117"/>
      <c r="G48" s="126" t="str">
        <f>IF(LEFT(A48,3)="vx_","vx",INDEX(Categorie,MATCH($A48,emprunts!$A$2:$A$149,0)))</f>
        <v>vx</v>
      </c>
      <c r="H48" s="124">
        <f>preteurs_annees!A48</f>
        <v>2004</v>
      </c>
      <c r="I48" s="119"/>
      <c r="J48" s="119"/>
      <c r="K48" s="119"/>
      <c r="L48" s="119"/>
      <c r="M48" s="119"/>
      <c r="N48" s="120"/>
      <c r="O48" s="127">
        <f>preteurs_annees!E48-preteurs_annees!O48</f>
        <v>27137652.640000001</v>
      </c>
      <c r="P48" s="127"/>
      <c r="Q48" s="127">
        <f>preteurs_annees!G48-preteurs_annees!Q48</f>
        <v>1500609.2599999998</v>
      </c>
      <c r="R48" s="127">
        <f>preteurs_annees!H48-preteurs_annees!R48</f>
        <v>2601286.37</v>
      </c>
      <c r="S48" s="127">
        <f>preteurs_annees!I48-preteurs_annees!S48</f>
        <v>0</v>
      </c>
      <c r="T48" s="127">
        <f>preteurs_annees!J48-preteurs_annees!T48</f>
        <v>384972.30999999994</v>
      </c>
      <c r="U48" s="127">
        <f t="shared" si="1"/>
        <v>4101895.63</v>
      </c>
      <c r="V48" s="119"/>
      <c r="W48" s="121"/>
      <c r="X48" s="119"/>
      <c r="Y48" s="122"/>
      <c r="Z48" s="123"/>
      <c r="AA48" s="123"/>
      <c r="AB48" s="123"/>
      <c r="AC48" s="127">
        <f t="shared" si="2"/>
        <v>28438295.824999999</v>
      </c>
    </row>
    <row r="49" spans="1:29" s="96" customFormat="1">
      <c r="A49" s="125" t="str">
        <f t="shared" si="0"/>
        <v>vx_Dexia CL</v>
      </c>
      <c r="B49" s="124" t="str">
        <f>preteurs_annees!C49</f>
        <v>Dexia CL</v>
      </c>
      <c r="C49" s="117"/>
      <c r="D49" s="117"/>
      <c r="E49" s="118"/>
      <c r="F49" s="117"/>
      <c r="G49" s="126" t="str">
        <f>IF(LEFT(A49,3)="vx_","vx",INDEX(Categorie,MATCH($A49,emprunts!$A$2:$A$149,0)))</f>
        <v>vx</v>
      </c>
      <c r="H49" s="124">
        <f>preteurs_annees!A49</f>
        <v>2004</v>
      </c>
      <c r="I49" s="119"/>
      <c r="J49" s="119"/>
      <c r="K49" s="119"/>
      <c r="L49" s="119"/>
      <c r="M49" s="119"/>
      <c r="N49" s="120"/>
      <c r="O49" s="127">
        <f>preteurs_annees!E49-preteurs_annees!O49</f>
        <v>122583.90999999642</v>
      </c>
      <c r="P49" s="127"/>
      <c r="Q49" s="127">
        <f>preteurs_annees!G49-preteurs_annees!Q49</f>
        <v>206680.1799999997</v>
      </c>
      <c r="R49" s="127">
        <f>preteurs_annees!H49-preteurs_annees!R49</f>
        <v>290658.21999999974</v>
      </c>
      <c r="S49" s="127">
        <f>preteurs_annees!I49-preteurs_annees!S49</f>
        <v>0</v>
      </c>
      <c r="T49" s="127">
        <f>preteurs_annees!J49-preteurs_annees!T49</f>
        <v>0</v>
      </c>
      <c r="U49" s="127">
        <f t="shared" si="1"/>
        <v>497338.39999999944</v>
      </c>
      <c r="V49" s="119"/>
      <c r="W49" s="121"/>
      <c r="X49" s="119"/>
      <c r="Y49" s="122"/>
      <c r="Z49" s="123"/>
      <c r="AA49" s="123"/>
      <c r="AB49" s="123"/>
      <c r="AC49" s="127">
        <f t="shared" si="2"/>
        <v>267913.01999999629</v>
      </c>
    </row>
    <row r="50" spans="1:29" s="96" customFormat="1">
      <c r="A50" s="125" t="str">
        <f t="shared" si="0"/>
        <v>vx_Caisse d'Épargne</v>
      </c>
      <c r="B50" s="124" t="str">
        <f>preteurs_annees!C50</f>
        <v>Caisse d'Épargne</v>
      </c>
      <c r="C50" s="117"/>
      <c r="D50" s="117"/>
      <c r="E50" s="118"/>
      <c r="F50" s="117"/>
      <c r="G50" s="126" t="str">
        <f>IF(LEFT(A50,3)="vx_","vx",INDEX(Categorie,MATCH($A50,emprunts!$A$2:$A$149,0)))</f>
        <v>vx</v>
      </c>
      <c r="H50" s="124">
        <f>preteurs_annees!A50</f>
        <v>2004</v>
      </c>
      <c r="I50" s="119"/>
      <c r="J50" s="119"/>
      <c r="K50" s="119"/>
      <c r="L50" s="119"/>
      <c r="M50" s="119"/>
      <c r="N50" s="120"/>
      <c r="O50" s="127">
        <f>preteurs_annees!E50-preteurs_annees!O50</f>
        <v>556960.71999999881</v>
      </c>
      <c r="P50" s="127"/>
      <c r="Q50" s="127">
        <f>preteurs_annees!G50-preteurs_annees!Q50</f>
        <v>63500.849999999977</v>
      </c>
      <c r="R50" s="127">
        <f>preteurs_annees!H50-preteurs_annees!R50</f>
        <v>765657.50999999989</v>
      </c>
      <c r="S50" s="127">
        <f>preteurs_annees!I50-preteurs_annees!S50</f>
        <v>0</v>
      </c>
      <c r="T50" s="127">
        <f>preteurs_annees!J50-preteurs_annees!T50</f>
        <v>11959.090000000026</v>
      </c>
      <c r="U50" s="127">
        <f t="shared" si="1"/>
        <v>829158.35999999987</v>
      </c>
      <c r="V50" s="119"/>
      <c r="W50" s="121"/>
      <c r="X50" s="119"/>
      <c r="Y50" s="122"/>
      <c r="Z50" s="123"/>
      <c r="AA50" s="123"/>
      <c r="AB50" s="123"/>
      <c r="AC50" s="127">
        <f t="shared" si="2"/>
        <v>939789.4749999987</v>
      </c>
    </row>
    <row r="51" spans="1:29" s="96" customFormat="1">
      <c r="A51" s="125" t="str">
        <f t="shared" si="0"/>
        <v>vx_Crédit Mutuel</v>
      </c>
      <c r="B51" s="124" t="str">
        <f>preteurs_annees!C51</f>
        <v>Crédit Mutuel</v>
      </c>
      <c r="C51" s="117"/>
      <c r="D51" s="117"/>
      <c r="E51" s="118"/>
      <c r="F51" s="117"/>
      <c r="G51" s="126" t="str">
        <f>IF(LEFT(A51,3)="vx_","vx",INDEX(Categorie,MATCH($A51,emprunts!$A$2:$A$149,0)))</f>
        <v>vx</v>
      </c>
      <c r="H51" s="124">
        <f>preteurs_annees!A51</f>
        <v>2004</v>
      </c>
      <c r="I51" s="119"/>
      <c r="J51" s="119"/>
      <c r="K51" s="119"/>
      <c r="L51" s="119"/>
      <c r="M51" s="119"/>
      <c r="N51" s="120"/>
      <c r="O51" s="127">
        <f>preteurs_annees!E51-preteurs_annees!O51</f>
        <v>-0.64999999990686774</v>
      </c>
      <c r="P51" s="127"/>
      <c r="Q51" s="127">
        <f>preteurs_annees!G51-preteurs_annees!Q51</f>
        <v>105795.12999999998</v>
      </c>
      <c r="R51" s="127">
        <f>preteurs_annees!H51-preteurs_annees!R51</f>
        <v>3111056.33</v>
      </c>
      <c r="S51" s="127">
        <f>preteurs_annees!I51-preteurs_annees!S51</f>
        <v>0</v>
      </c>
      <c r="T51" s="127">
        <f>preteurs_annees!J51-preteurs_annees!T51</f>
        <v>0</v>
      </c>
      <c r="U51" s="127">
        <f t="shared" si="1"/>
        <v>3216851.46</v>
      </c>
      <c r="V51" s="119"/>
      <c r="W51" s="121"/>
      <c r="X51" s="119"/>
      <c r="Y51" s="122"/>
      <c r="Z51" s="123"/>
      <c r="AA51" s="123"/>
      <c r="AB51" s="123"/>
      <c r="AC51" s="127">
        <f t="shared" si="2"/>
        <v>1555527.5150000001</v>
      </c>
    </row>
    <row r="52" spans="1:29" s="96" customFormat="1">
      <c r="A52" s="125" t="str">
        <f t="shared" si="0"/>
        <v>vx_Société générale</v>
      </c>
      <c r="B52" s="124" t="str">
        <f>preteurs_annees!C52</f>
        <v>Société générale</v>
      </c>
      <c r="C52" s="117"/>
      <c r="D52" s="117"/>
      <c r="E52" s="118"/>
      <c r="F52" s="117"/>
      <c r="G52" s="126" t="str">
        <f>IF(LEFT(A52,3)="vx_","vx",INDEX(Categorie,MATCH($A52,emprunts!$A$2:$A$149,0)))</f>
        <v>vx</v>
      </c>
      <c r="H52" s="124">
        <f>preteurs_annees!A52</f>
        <v>2004</v>
      </c>
      <c r="I52" s="119"/>
      <c r="J52" s="119"/>
      <c r="K52" s="119"/>
      <c r="L52" s="119"/>
      <c r="M52" s="119"/>
      <c r="N52" s="120"/>
      <c r="O52" s="127">
        <f>preteurs_annees!E52-preteurs_annees!O52</f>
        <v>1486709.58</v>
      </c>
      <c r="P52" s="127"/>
      <c r="Q52" s="127">
        <f>preteurs_annees!G52-preteurs_annees!Q52</f>
        <v>122006.81</v>
      </c>
      <c r="R52" s="127">
        <f>preteurs_annees!H52-preteurs_annees!R52</f>
        <v>437688.09</v>
      </c>
      <c r="S52" s="127">
        <f>preteurs_annees!I52-preteurs_annees!S52</f>
        <v>0</v>
      </c>
      <c r="T52" s="127">
        <f>preteurs_annees!J52-preteurs_annees!T52</f>
        <v>54230.28</v>
      </c>
      <c r="U52" s="127">
        <f t="shared" si="1"/>
        <v>559694.9</v>
      </c>
      <c r="V52" s="119"/>
      <c r="W52" s="121"/>
      <c r="X52" s="119"/>
      <c r="Y52" s="122"/>
      <c r="Z52" s="123"/>
      <c r="AA52" s="123"/>
      <c r="AB52" s="123"/>
      <c r="AC52" s="127">
        <f t="shared" si="2"/>
        <v>1705553.625</v>
      </c>
    </row>
    <row r="53" spans="1:29" s="96" customFormat="1">
      <c r="A53" s="125" t="str">
        <f t="shared" si="0"/>
        <v>vx_Crédit Foncier</v>
      </c>
      <c r="B53" s="124" t="str">
        <f>preteurs_annees!C53</f>
        <v>Crédit Foncier</v>
      </c>
      <c r="C53" s="117"/>
      <c r="D53" s="117"/>
      <c r="E53" s="118"/>
      <c r="F53" s="117"/>
      <c r="G53" s="126" t="str">
        <f>IF(LEFT(A53,3)="vx_","vx",INDEX(Categorie,MATCH($A53,emprunts!$A$2:$A$149,0)))</f>
        <v>vx</v>
      </c>
      <c r="H53" s="124">
        <f>preteurs_annees!A53</f>
        <v>2004</v>
      </c>
      <c r="I53" s="119"/>
      <c r="J53" s="119"/>
      <c r="K53" s="119"/>
      <c r="L53" s="119"/>
      <c r="M53" s="119"/>
      <c r="N53" s="120"/>
      <c r="O53" s="127">
        <f>preteurs_annees!E53-preteurs_annees!O53</f>
        <v>1304505.8999999999</v>
      </c>
      <c r="P53" s="127"/>
      <c r="Q53" s="127">
        <f>preteurs_annees!G53-preteurs_annees!Q53</f>
        <v>131083.9</v>
      </c>
      <c r="R53" s="127">
        <f>preteurs_annees!H53-preteurs_annees!R53</f>
        <v>801941.39</v>
      </c>
      <c r="S53" s="127">
        <f>preteurs_annees!I53-preteurs_annees!S53</f>
        <v>0</v>
      </c>
      <c r="T53" s="127">
        <f>preteurs_annees!J53-preteurs_annees!T53</f>
        <v>0</v>
      </c>
      <c r="U53" s="127">
        <f t="shared" si="1"/>
        <v>933025.29</v>
      </c>
      <c r="V53" s="119"/>
      <c r="W53" s="121"/>
      <c r="X53" s="119"/>
      <c r="Y53" s="122"/>
      <c r="Z53" s="123"/>
      <c r="AA53" s="123"/>
      <c r="AB53" s="123"/>
      <c r="AC53" s="127">
        <f t="shared" si="2"/>
        <v>1705476.595</v>
      </c>
    </row>
    <row r="54" spans="1:29" s="96" customFormat="1">
      <c r="A54" s="125" t="str">
        <f t="shared" si="0"/>
        <v>vx_Auxifip CEPME</v>
      </c>
      <c r="B54" s="124" t="str">
        <f>preteurs_annees!C54</f>
        <v>Auxifip CEPME</v>
      </c>
      <c r="C54" s="117"/>
      <c r="D54" s="117"/>
      <c r="E54" s="118"/>
      <c r="F54" s="117"/>
      <c r="G54" s="126" t="str">
        <f>IF(LEFT(A54,3)="vx_","vx",INDEX(Categorie,MATCH($A54,emprunts!$A$2:$A$149,0)))</f>
        <v>vx</v>
      </c>
      <c r="H54" s="124">
        <f>preteurs_annees!A54</f>
        <v>2004</v>
      </c>
      <c r="I54" s="119"/>
      <c r="J54" s="119"/>
      <c r="K54" s="119"/>
      <c r="L54" s="119"/>
      <c r="M54" s="119"/>
      <c r="N54" s="120"/>
      <c r="O54" s="127">
        <f>preteurs_annees!E54-preteurs_annees!O54</f>
        <v>1861019.35</v>
      </c>
      <c r="P54" s="127"/>
      <c r="Q54" s="127">
        <f>preteurs_annees!G54-preteurs_annees!Q54</f>
        <v>164359.93</v>
      </c>
      <c r="R54" s="127">
        <f>preteurs_annees!H54-preteurs_annees!R54</f>
        <v>366980.19</v>
      </c>
      <c r="S54" s="127">
        <f>preteurs_annees!I54-preteurs_annees!S54</f>
        <v>0</v>
      </c>
      <c r="T54" s="127">
        <f>preteurs_annees!J54-preteurs_annees!T54</f>
        <v>0</v>
      </c>
      <c r="U54" s="127">
        <f t="shared" si="1"/>
        <v>531340.12</v>
      </c>
      <c r="V54" s="119"/>
      <c r="W54" s="121"/>
      <c r="X54" s="119"/>
      <c r="Y54" s="122"/>
      <c r="Z54" s="123"/>
      <c r="AA54" s="123"/>
      <c r="AB54" s="123"/>
      <c r="AC54" s="127">
        <f t="shared" si="2"/>
        <v>2044509.4450000001</v>
      </c>
    </row>
    <row r="55" spans="1:29" s="96" customFormat="1">
      <c r="A55" s="125" t="str">
        <f t="shared" si="0"/>
        <v>vx_Natixis</v>
      </c>
      <c r="B55" s="124" t="str">
        <f>preteurs_annees!C55</f>
        <v>Natixis</v>
      </c>
      <c r="C55" s="117"/>
      <c r="D55" s="117"/>
      <c r="E55" s="118"/>
      <c r="F55" s="117"/>
      <c r="G55" s="126" t="str">
        <f>IF(LEFT(A55,3)="vx_","vx",INDEX(Categorie,MATCH($A55,emprunts!$A$2:$A$149,0)))</f>
        <v>vx</v>
      </c>
      <c r="H55" s="124">
        <f>preteurs_annees!A55</f>
        <v>2004</v>
      </c>
      <c r="I55" s="119"/>
      <c r="J55" s="119"/>
      <c r="K55" s="119"/>
      <c r="L55" s="119"/>
      <c r="M55" s="119"/>
      <c r="N55" s="120"/>
      <c r="O55" s="127">
        <f>preteurs_annees!E55-preteurs_annees!O55</f>
        <v>0</v>
      </c>
      <c r="P55" s="127"/>
      <c r="Q55" s="127">
        <f>preteurs_annees!G55-preteurs_annees!Q55</f>
        <v>0</v>
      </c>
      <c r="R55" s="127">
        <f>preteurs_annees!H55-preteurs_annees!R55</f>
        <v>0</v>
      </c>
      <c r="S55" s="127">
        <f>preteurs_annees!I55-preteurs_annees!S55</f>
        <v>0</v>
      </c>
      <c r="T55" s="127">
        <f>preteurs_annees!J55-preteurs_annees!T55</f>
        <v>0</v>
      </c>
      <c r="U55" s="127">
        <f t="shared" si="1"/>
        <v>0</v>
      </c>
      <c r="V55" s="119"/>
      <c r="W55" s="121"/>
      <c r="X55" s="119"/>
      <c r="Y55" s="122"/>
      <c r="Z55" s="123"/>
      <c r="AA55" s="123"/>
      <c r="AB55" s="123"/>
      <c r="AC55" s="127">
        <f t="shared" si="2"/>
        <v>0</v>
      </c>
    </row>
    <row r="56" spans="1:29" s="96" customFormat="1">
      <c r="A56" s="125" t="str">
        <f t="shared" si="0"/>
        <v>vx_Deutsche Hypothekenbank</v>
      </c>
      <c r="B56" s="124" t="str">
        <f>preteurs_annees!C56</f>
        <v>Deutsche Hypothekenbank</v>
      </c>
      <c r="C56" s="117"/>
      <c r="D56" s="117"/>
      <c r="E56" s="118"/>
      <c r="F56" s="117"/>
      <c r="G56" s="126" t="str">
        <f>IF(LEFT(A56,3)="vx_","vx",INDEX(Categorie,MATCH($A56,emprunts!$A$2:$A$149,0)))</f>
        <v>vx</v>
      </c>
      <c r="H56" s="124">
        <f>preteurs_annees!A56</f>
        <v>2004</v>
      </c>
      <c r="I56" s="119"/>
      <c r="J56" s="119"/>
      <c r="K56" s="119"/>
      <c r="L56" s="119"/>
      <c r="M56" s="119"/>
      <c r="N56" s="120"/>
      <c r="O56" s="127">
        <f>preteurs_annees!E56-preteurs_annees!O56</f>
        <v>2089866.86</v>
      </c>
      <c r="P56" s="127"/>
      <c r="Q56" s="127">
        <f>preteurs_annees!G56-preteurs_annees!Q56</f>
        <v>199676.96</v>
      </c>
      <c r="R56" s="127">
        <f>preteurs_annees!H56-preteurs_annees!R56</f>
        <v>259272.64</v>
      </c>
      <c r="S56" s="127">
        <f>preteurs_annees!I56-preteurs_annees!S56</f>
        <v>0</v>
      </c>
      <c r="T56" s="127">
        <f>preteurs_annees!J56-preteurs_annees!T56</f>
        <v>0</v>
      </c>
      <c r="U56" s="127">
        <f t="shared" si="1"/>
        <v>458949.6</v>
      </c>
      <c r="V56" s="119"/>
      <c r="W56" s="121"/>
      <c r="X56" s="119"/>
      <c r="Y56" s="122"/>
      <c r="Z56" s="123"/>
      <c r="AA56" s="123"/>
      <c r="AB56" s="123"/>
      <c r="AC56" s="127">
        <f t="shared" si="2"/>
        <v>2219503.1800000002</v>
      </c>
    </row>
    <row r="57" spans="1:29" s="96" customFormat="1">
      <c r="A57" s="125" t="str">
        <f t="shared" si="0"/>
        <v>vx_Crédit Agricole</v>
      </c>
      <c r="B57" s="124" t="str">
        <f>preteurs_annees!C57</f>
        <v>Crédit Agricole</v>
      </c>
      <c r="C57" s="117"/>
      <c r="D57" s="117"/>
      <c r="E57" s="118"/>
      <c r="F57" s="117"/>
      <c r="G57" s="126" t="str">
        <f>IF(LEFT(A57,3)="vx_","vx",INDEX(Categorie,MATCH($A57,emprunts!$A$2:$A$149,0)))</f>
        <v>vx</v>
      </c>
      <c r="H57" s="124">
        <f>preteurs_annees!A57</f>
        <v>2004</v>
      </c>
      <c r="I57" s="119"/>
      <c r="J57" s="119"/>
      <c r="K57" s="119"/>
      <c r="L57" s="119"/>
      <c r="M57" s="119"/>
      <c r="N57" s="120"/>
      <c r="O57" s="127">
        <f>preteurs_annees!E57-preteurs_annees!O57</f>
        <v>-0.27999999932944775</v>
      </c>
      <c r="P57" s="127"/>
      <c r="Q57" s="127">
        <f>preteurs_annees!G57-preteurs_annees!Q57</f>
        <v>0</v>
      </c>
      <c r="R57" s="127">
        <f>preteurs_annees!H57-preteurs_annees!R57</f>
        <v>0</v>
      </c>
      <c r="S57" s="127">
        <f>preteurs_annees!I57-preteurs_annees!S57</f>
        <v>0</v>
      </c>
      <c r="T57" s="127">
        <f>preteurs_annees!J57-preteurs_annees!T57</f>
        <v>0</v>
      </c>
      <c r="U57" s="127">
        <f t="shared" si="1"/>
        <v>0</v>
      </c>
      <c r="V57" s="119"/>
      <c r="W57" s="121"/>
      <c r="X57" s="119"/>
      <c r="Y57" s="122"/>
      <c r="Z57" s="123"/>
      <c r="AA57" s="123"/>
      <c r="AB57" s="123"/>
      <c r="AC57" s="127">
        <f t="shared" si="2"/>
        <v>0</v>
      </c>
    </row>
    <row r="58" spans="1:29" s="96" customFormat="1">
      <c r="A58" s="125" t="str">
        <f t="shared" si="0"/>
        <v>vx_Rheinboden Hypothekenbank</v>
      </c>
      <c r="B58" s="124" t="str">
        <f>preteurs_annees!C58</f>
        <v>Rheinboden Hypothekenbank</v>
      </c>
      <c r="C58" s="117"/>
      <c r="D58" s="117"/>
      <c r="E58" s="118"/>
      <c r="F58" s="117"/>
      <c r="G58" s="126" t="str">
        <f>IF(LEFT(A58,3)="vx_","vx",INDEX(Categorie,MATCH($A58,emprunts!$A$2:$A$149,0)))</f>
        <v>vx</v>
      </c>
      <c r="H58" s="124">
        <f>preteurs_annees!A58</f>
        <v>2004</v>
      </c>
      <c r="I58" s="119"/>
      <c r="J58" s="119"/>
      <c r="K58" s="119"/>
      <c r="L58" s="119"/>
      <c r="M58" s="119"/>
      <c r="N58" s="120"/>
      <c r="O58" s="127">
        <f>preteurs_annees!E58-preteurs_annees!O58</f>
        <v>796546.12</v>
      </c>
      <c r="P58" s="127"/>
      <c r="Q58" s="127">
        <f>preteurs_annees!G58-preteurs_annees!Q58</f>
        <v>196662.41</v>
      </c>
      <c r="R58" s="127">
        <f>preteurs_annees!H58-preteurs_annees!R58</f>
        <v>4713571.16</v>
      </c>
      <c r="S58" s="127">
        <f>preteurs_annees!I58-preteurs_annees!S58</f>
        <v>0</v>
      </c>
      <c r="T58" s="127">
        <f>preteurs_annees!J58-preteurs_annees!T58</f>
        <v>0</v>
      </c>
      <c r="U58" s="127">
        <f t="shared" si="1"/>
        <v>4910233.57</v>
      </c>
      <c r="V58" s="119"/>
      <c r="W58" s="121"/>
      <c r="X58" s="119"/>
      <c r="Y58" s="122"/>
      <c r="Z58" s="123"/>
      <c r="AA58" s="123"/>
      <c r="AB58" s="123"/>
      <c r="AC58" s="127">
        <f t="shared" si="2"/>
        <v>3153331.7</v>
      </c>
    </row>
    <row r="59" spans="1:29" s="96" customFormat="1">
      <c r="A59" s="125" t="str">
        <f t="shared" si="0"/>
        <v>vx_CDC</v>
      </c>
      <c r="B59" s="124" t="str">
        <f>preteurs_annees!C59</f>
        <v>CDC</v>
      </c>
      <c r="C59" s="117"/>
      <c r="D59" s="117"/>
      <c r="E59" s="118"/>
      <c r="F59" s="117"/>
      <c r="G59" s="126" t="str">
        <f>IF(LEFT(A59,3)="vx_","vx",INDEX(Categorie,MATCH($A59,emprunts!$A$2:$A$149,0)))</f>
        <v>vx</v>
      </c>
      <c r="H59" s="124">
        <f>preteurs_annees!A59</f>
        <v>2005</v>
      </c>
      <c r="I59" s="119"/>
      <c r="J59" s="119"/>
      <c r="K59" s="119"/>
      <c r="L59" s="119"/>
      <c r="M59" s="119"/>
      <c r="N59" s="120"/>
      <c r="O59" s="127">
        <f>preteurs_annees!E59-preteurs_annees!O59</f>
        <v>8326731.5100000016</v>
      </c>
      <c r="P59" s="127"/>
      <c r="Q59" s="127">
        <f>preteurs_annees!G59-preteurs_annees!Q59</f>
        <v>1317562.8400000001</v>
      </c>
      <c r="R59" s="127">
        <f>preteurs_annees!H59-preteurs_annees!R59</f>
        <v>13267117.030000001</v>
      </c>
      <c r="S59" s="127">
        <f>preteurs_annees!I59-preteurs_annees!S59</f>
        <v>0</v>
      </c>
      <c r="T59" s="127">
        <f>preteurs_annees!J59-preteurs_annees!T59</f>
        <v>176116.54</v>
      </c>
      <c r="U59" s="127">
        <f t="shared" si="1"/>
        <v>14584679.870000001</v>
      </c>
      <c r="V59" s="119"/>
      <c r="W59" s="121"/>
      <c r="X59" s="119"/>
      <c r="Y59" s="122"/>
      <c r="Z59" s="123"/>
      <c r="AA59" s="123"/>
      <c r="AB59" s="123"/>
      <c r="AC59" s="127">
        <f t="shared" si="2"/>
        <v>14960290.025000002</v>
      </c>
    </row>
    <row r="60" spans="1:29" s="96" customFormat="1">
      <c r="A60" s="125" t="str">
        <f t="shared" si="0"/>
        <v>vx_Dexia CL</v>
      </c>
      <c r="B60" s="124" t="str">
        <f>preteurs_annees!C60</f>
        <v>Dexia CL</v>
      </c>
      <c r="C60" s="117"/>
      <c r="D60" s="117"/>
      <c r="E60" s="118"/>
      <c r="F60" s="117"/>
      <c r="G60" s="126" t="str">
        <f>IF(LEFT(A60,3)="vx_","vx",INDEX(Categorie,MATCH($A60,emprunts!$A$2:$A$149,0)))</f>
        <v>vx</v>
      </c>
      <c r="H60" s="124">
        <f>preteurs_annees!A60</f>
        <v>2005</v>
      </c>
      <c r="I60" s="119"/>
      <c r="J60" s="119"/>
      <c r="K60" s="119"/>
      <c r="L60" s="119"/>
      <c r="M60" s="119"/>
      <c r="N60" s="120"/>
      <c r="O60" s="127">
        <f>preteurs_annees!E60-preteurs_annees!O60</f>
        <v>2.7099999934434891</v>
      </c>
      <c r="P60" s="127"/>
      <c r="Q60" s="127">
        <f>preteurs_annees!G60-preteurs_annees!Q60</f>
        <v>7560.0600000005215</v>
      </c>
      <c r="R60" s="127">
        <f>preteurs_annees!H60-preteurs_annees!R60</f>
        <v>122586.70999999996</v>
      </c>
      <c r="S60" s="127">
        <f>preteurs_annees!I60-preteurs_annees!S60</f>
        <v>0</v>
      </c>
      <c r="T60" s="127">
        <f>preteurs_annees!J60-preteurs_annees!T60</f>
        <v>3991</v>
      </c>
      <c r="U60" s="127">
        <f t="shared" si="1"/>
        <v>130146.77000000048</v>
      </c>
      <c r="V60" s="119"/>
      <c r="W60" s="121"/>
      <c r="X60" s="119"/>
      <c r="Y60" s="122"/>
      <c r="Z60" s="123"/>
      <c r="AA60" s="123"/>
      <c r="AB60" s="123"/>
      <c r="AC60" s="127">
        <f t="shared" si="2"/>
        <v>61296.064999993425</v>
      </c>
    </row>
    <row r="61" spans="1:29" s="96" customFormat="1">
      <c r="A61" s="125" t="str">
        <f t="shared" si="0"/>
        <v>vx_Caisse d'Épargne</v>
      </c>
      <c r="B61" s="124" t="str">
        <f>preteurs_annees!C61</f>
        <v>Caisse d'Épargne</v>
      </c>
      <c r="C61" s="117"/>
      <c r="D61" s="117"/>
      <c r="E61" s="118"/>
      <c r="F61" s="117"/>
      <c r="G61" s="126" t="str">
        <f>IF(LEFT(A61,3)="vx_","vx",INDEX(Categorie,MATCH($A61,emprunts!$A$2:$A$149,0)))</f>
        <v>vx</v>
      </c>
      <c r="H61" s="124">
        <f>preteurs_annees!A61</f>
        <v>2005</v>
      </c>
      <c r="I61" s="119"/>
      <c r="J61" s="119"/>
      <c r="K61" s="119"/>
      <c r="L61" s="119"/>
      <c r="M61" s="119"/>
      <c r="N61" s="120"/>
      <c r="O61" s="127">
        <f>preteurs_annees!E61-preteurs_annees!O61</f>
        <v>0.97000000067055225</v>
      </c>
      <c r="P61" s="127"/>
      <c r="Q61" s="127">
        <f>preteurs_annees!G61-preteurs_annees!Q61</f>
        <v>25661.449999999953</v>
      </c>
      <c r="R61" s="127">
        <f>preteurs_annees!H61-preteurs_annees!R61</f>
        <v>556961.32999999984</v>
      </c>
      <c r="S61" s="127">
        <f>preteurs_annees!I61-preteurs_annees!S61</f>
        <v>0</v>
      </c>
      <c r="T61" s="127">
        <f>preteurs_annees!J61-preteurs_annees!T61</f>
        <v>0</v>
      </c>
      <c r="U61" s="127">
        <f t="shared" si="1"/>
        <v>582622.7799999998</v>
      </c>
      <c r="V61" s="119"/>
      <c r="W61" s="121"/>
      <c r="X61" s="119"/>
      <c r="Y61" s="122"/>
      <c r="Z61" s="123"/>
      <c r="AA61" s="123"/>
      <c r="AB61" s="123"/>
      <c r="AC61" s="127">
        <f t="shared" si="2"/>
        <v>278481.63500000059</v>
      </c>
    </row>
    <row r="62" spans="1:29" s="96" customFormat="1">
      <c r="A62" s="125" t="str">
        <f t="shared" si="0"/>
        <v>vx_Crédit Mutuel</v>
      </c>
      <c r="B62" s="124" t="str">
        <f>preteurs_annees!C62</f>
        <v>Crédit Mutuel</v>
      </c>
      <c r="C62" s="117"/>
      <c r="D62" s="117"/>
      <c r="E62" s="118"/>
      <c r="F62" s="117"/>
      <c r="G62" s="126" t="str">
        <f>IF(LEFT(A62,3)="vx_","vx",INDEX(Categorie,MATCH($A62,emprunts!$A$2:$A$149,0)))</f>
        <v>vx</v>
      </c>
      <c r="H62" s="124">
        <f>preteurs_annees!A62</f>
        <v>2005</v>
      </c>
      <c r="I62" s="119"/>
      <c r="J62" s="119"/>
      <c r="K62" s="119"/>
      <c r="L62" s="119"/>
      <c r="M62" s="119"/>
      <c r="N62" s="120"/>
      <c r="O62" s="127">
        <f>preteurs_annees!E62-preteurs_annees!O62</f>
        <v>0.31000000005587935</v>
      </c>
      <c r="P62" s="127"/>
      <c r="Q62" s="127">
        <f>preteurs_annees!G62-preteurs_annees!Q62</f>
        <v>0</v>
      </c>
      <c r="R62" s="127">
        <f>preteurs_annees!H62-preteurs_annees!R62</f>
        <v>0</v>
      </c>
      <c r="S62" s="127">
        <f>preteurs_annees!I62-preteurs_annees!S62</f>
        <v>0</v>
      </c>
      <c r="T62" s="127">
        <f>preteurs_annees!J62-preteurs_annees!T62</f>
        <v>0</v>
      </c>
      <c r="U62" s="127">
        <f t="shared" si="1"/>
        <v>0</v>
      </c>
      <c r="V62" s="119"/>
      <c r="W62" s="121"/>
      <c r="X62" s="119"/>
      <c r="Y62" s="122"/>
      <c r="Z62" s="123"/>
      <c r="AA62" s="123"/>
      <c r="AB62" s="123"/>
      <c r="AC62" s="127">
        <f t="shared" si="2"/>
        <v>0.31000000005587935</v>
      </c>
    </row>
    <row r="63" spans="1:29" s="96" customFormat="1">
      <c r="A63" s="125" t="str">
        <f t="shared" si="0"/>
        <v>vx_Société générale</v>
      </c>
      <c r="B63" s="124" t="str">
        <f>preteurs_annees!C63</f>
        <v>Société générale</v>
      </c>
      <c r="C63" s="117"/>
      <c r="D63" s="117"/>
      <c r="E63" s="118"/>
      <c r="F63" s="117"/>
      <c r="G63" s="126" t="str">
        <f>IF(LEFT(A63,3)="vx_","vx",INDEX(Categorie,MATCH($A63,emprunts!$A$2:$A$149,0)))</f>
        <v>vx</v>
      </c>
      <c r="H63" s="124">
        <f>preteurs_annees!A63</f>
        <v>2005</v>
      </c>
      <c r="I63" s="119"/>
      <c r="J63" s="119"/>
      <c r="K63" s="119"/>
      <c r="L63" s="119"/>
      <c r="M63" s="119"/>
      <c r="N63" s="120"/>
      <c r="O63" s="127">
        <f>preteurs_annees!E63-preteurs_annees!O63</f>
        <v>1021272.07</v>
      </c>
      <c r="P63" s="127"/>
      <c r="Q63" s="127">
        <f>preteurs_annees!G63-preteurs_annees!Q63</f>
        <v>94257.39</v>
      </c>
      <c r="R63" s="127">
        <f>preteurs_annees!H63-preteurs_annees!R63</f>
        <v>465437.51</v>
      </c>
      <c r="S63" s="127">
        <f>preteurs_annees!I63-preteurs_annees!S63</f>
        <v>0</v>
      </c>
      <c r="T63" s="127">
        <f>preteurs_annees!J63-preteurs_annees!T63</f>
        <v>37252.65</v>
      </c>
      <c r="U63" s="127">
        <f t="shared" si="1"/>
        <v>559694.9</v>
      </c>
      <c r="V63" s="119"/>
      <c r="W63" s="121"/>
      <c r="X63" s="119"/>
      <c r="Y63" s="122"/>
      <c r="Z63" s="123"/>
      <c r="AA63" s="123"/>
      <c r="AB63" s="123"/>
      <c r="AC63" s="127">
        <f t="shared" si="2"/>
        <v>1253990.825</v>
      </c>
    </row>
    <row r="64" spans="1:29" s="96" customFormat="1">
      <c r="A64" s="125" t="str">
        <f t="shared" si="0"/>
        <v>vx_Crédit Foncier</v>
      </c>
      <c r="B64" s="124" t="str">
        <f>preteurs_annees!C64</f>
        <v>Crédit Foncier</v>
      </c>
      <c r="C64" s="117"/>
      <c r="D64" s="117"/>
      <c r="E64" s="118"/>
      <c r="F64" s="117"/>
      <c r="G64" s="126" t="str">
        <f>IF(LEFT(A64,3)="vx_","vx",INDEX(Categorie,MATCH($A64,emprunts!$A$2:$A$149,0)))</f>
        <v>vx</v>
      </c>
      <c r="H64" s="124">
        <f>preteurs_annees!A64</f>
        <v>2005</v>
      </c>
      <c r="I64" s="119"/>
      <c r="J64" s="119"/>
      <c r="K64" s="119"/>
      <c r="L64" s="119"/>
      <c r="M64" s="119"/>
      <c r="N64" s="120"/>
      <c r="O64" s="127">
        <f>preteurs_annees!E64-preteurs_annees!O64</f>
        <v>0</v>
      </c>
      <c r="P64" s="127"/>
      <c r="Q64" s="127">
        <f>preteurs_annees!G64-preteurs_annees!Q64</f>
        <v>78270.350000000006</v>
      </c>
      <c r="R64" s="127">
        <f>preteurs_annees!H64-preteurs_annees!R64</f>
        <v>1304505.8999999999</v>
      </c>
      <c r="S64" s="127">
        <f>preteurs_annees!I64-preteurs_annees!S64</f>
        <v>0</v>
      </c>
      <c r="T64" s="127">
        <f>preteurs_annees!J64-preteurs_annees!T64</f>
        <v>0</v>
      </c>
      <c r="U64" s="127">
        <f t="shared" si="1"/>
        <v>1382776.25</v>
      </c>
      <c r="V64" s="119"/>
      <c r="W64" s="121"/>
      <c r="X64" s="119"/>
      <c r="Y64" s="122"/>
      <c r="Z64" s="123"/>
      <c r="AA64" s="123"/>
      <c r="AB64" s="123"/>
      <c r="AC64" s="127">
        <f t="shared" si="2"/>
        <v>652252.94999999995</v>
      </c>
    </row>
    <row r="65" spans="1:29" s="96" customFormat="1">
      <c r="A65" s="125" t="str">
        <f t="shared" si="0"/>
        <v>vx_Auxifip CEPME</v>
      </c>
      <c r="B65" s="124" t="str">
        <f>preteurs_annees!C65</f>
        <v>Auxifip CEPME</v>
      </c>
      <c r="C65" s="117"/>
      <c r="D65" s="117"/>
      <c r="E65" s="118"/>
      <c r="F65" s="117"/>
      <c r="G65" s="126" t="str">
        <f>IF(LEFT(A65,3)="vx_","vx",INDEX(Categorie,MATCH($A65,emprunts!$A$2:$A$149,0)))</f>
        <v>vx</v>
      </c>
      <c r="H65" s="124">
        <f>preteurs_annees!A65</f>
        <v>2005</v>
      </c>
      <c r="I65" s="119"/>
      <c r="J65" s="119"/>
      <c r="K65" s="119"/>
      <c r="L65" s="119"/>
      <c r="M65" s="119"/>
      <c r="N65" s="120"/>
      <c r="O65" s="127">
        <f>preteurs_annees!E65-preteurs_annees!O65</f>
        <v>1466431.23</v>
      </c>
      <c r="P65" s="127"/>
      <c r="Q65" s="127">
        <f>preteurs_annees!G65-preteurs_annees!Q65</f>
        <v>136752.01</v>
      </c>
      <c r="R65" s="127">
        <f>preteurs_annees!H65-preteurs_annees!R65</f>
        <v>394588.12</v>
      </c>
      <c r="S65" s="127">
        <f>preteurs_annees!I65-preteurs_annees!S65</f>
        <v>0</v>
      </c>
      <c r="T65" s="127">
        <f>preteurs_annees!J65-preteurs_annees!T65</f>
        <v>0</v>
      </c>
      <c r="U65" s="127">
        <f t="shared" si="1"/>
        <v>531340.13</v>
      </c>
      <c r="V65" s="119"/>
      <c r="W65" s="121"/>
      <c r="X65" s="119"/>
      <c r="Y65" s="122"/>
      <c r="Z65" s="123"/>
      <c r="AA65" s="123"/>
      <c r="AB65" s="123"/>
      <c r="AC65" s="127">
        <f t="shared" si="2"/>
        <v>1663725.29</v>
      </c>
    </row>
    <row r="66" spans="1:29" s="96" customFormat="1">
      <c r="A66" s="125" t="str">
        <f t="shared" si="0"/>
        <v>vx_Natixis</v>
      </c>
      <c r="B66" s="124" t="str">
        <f>preteurs_annees!C66</f>
        <v>Natixis</v>
      </c>
      <c r="C66" s="117"/>
      <c r="D66" s="117"/>
      <c r="E66" s="118"/>
      <c r="F66" s="117"/>
      <c r="G66" s="126" t="str">
        <f>IF(LEFT(A66,3)="vx_","vx",INDEX(Categorie,MATCH($A66,emprunts!$A$2:$A$149,0)))</f>
        <v>vx</v>
      </c>
      <c r="H66" s="124">
        <f>preteurs_annees!A66</f>
        <v>2005</v>
      </c>
      <c r="I66" s="119"/>
      <c r="J66" s="119"/>
      <c r="K66" s="119"/>
      <c r="L66" s="119"/>
      <c r="M66" s="119"/>
      <c r="N66" s="120"/>
      <c r="O66" s="127">
        <f>preteurs_annees!E66-preteurs_annees!O66</f>
        <v>0</v>
      </c>
      <c r="P66" s="127"/>
      <c r="Q66" s="127">
        <f>preteurs_annees!G66-preteurs_annees!Q66</f>
        <v>0</v>
      </c>
      <c r="R66" s="127">
        <f>preteurs_annees!H66-preteurs_annees!R66</f>
        <v>0</v>
      </c>
      <c r="S66" s="127">
        <f>preteurs_annees!I66-preteurs_annees!S66</f>
        <v>0</v>
      </c>
      <c r="T66" s="127">
        <f>preteurs_annees!J66-preteurs_annees!T66</f>
        <v>0</v>
      </c>
      <c r="U66" s="127">
        <f t="shared" si="1"/>
        <v>0</v>
      </c>
      <c r="V66" s="119"/>
      <c r="W66" s="121"/>
      <c r="X66" s="119"/>
      <c r="Y66" s="122"/>
      <c r="Z66" s="123"/>
      <c r="AA66" s="123"/>
      <c r="AB66" s="123"/>
      <c r="AC66" s="127">
        <f t="shared" si="2"/>
        <v>0</v>
      </c>
    </row>
    <row r="67" spans="1:29" s="96" customFormat="1">
      <c r="A67" s="125" t="str">
        <f t="shared" ref="A67:A122" si="3">"vx_"&amp;B67</f>
        <v>vx_Deutsche Hypothekenbank</v>
      </c>
      <c r="B67" s="124" t="str">
        <f>preteurs_annees!C67</f>
        <v>Deutsche Hypothekenbank</v>
      </c>
      <c r="C67" s="117"/>
      <c r="D67" s="117"/>
      <c r="E67" s="118"/>
      <c r="F67" s="117"/>
      <c r="G67" s="126" t="str">
        <f>IF(LEFT(A67,3)="vx_","vx",INDEX(Categorie,MATCH($A67,emprunts!$A$2:$A$149,0)))</f>
        <v>vx</v>
      </c>
      <c r="H67" s="124">
        <f>preteurs_annees!A67</f>
        <v>2005</v>
      </c>
      <c r="I67" s="119"/>
      <c r="J67" s="119"/>
      <c r="K67" s="119"/>
      <c r="L67" s="119"/>
      <c r="M67" s="119"/>
      <c r="N67" s="120"/>
      <c r="O67" s="127">
        <f>preteurs_annees!E67-preteurs_annees!O67</f>
        <v>0</v>
      </c>
      <c r="P67" s="127"/>
      <c r="Q67" s="127">
        <f>preteurs_annees!G67-preteurs_annees!Q67</f>
        <v>177638.78</v>
      </c>
      <c r="R67" s="127">
        <f>preteurs_annees!H67-preteurs_annees!R67</f>
        <v>2089866.86</v>
      </c>
      <c r="S67" s="127">
        <f>preteurs_annees!I67-preteurs_annees!S67</f>
        <v>0</v>
      </c>
      <c r="T67" s="127">
        <f>preteurs_annees!J67-preteurs_annees!T67</f>
        <v>0</v>
      </c>
      <c r="U67" s="127">
        <f t="shared" ref="U67:U122" si="4">SUM(Q67:S67)</f>
        <v>2267505.64</v>
      </c>
      <c r="V67" s="119"/>
      <c r="W67" s="121"/>
      <c r="X67" s="119"/>
      <c r="Y67" s="122"/>
      <c r="Z67" s="123"/>
      <c r="AA67" s="123"/>
      <c r="AB67" s="123"/>
      <c r="AC67" s="127">
        <f t="shared" ref="AC67:AC122" si="5">MAX(0,O67+R67/2)</f>
        <v>1044933.43</v>
      </c>
    </row>
    <row r="68" spans="1:29" s="96" customFormat="1">
      <c r="A68" s="125" t="str">
        <f t="shared" si="3"/>
        <v>vx_Crédit Agricole</v>
      </c>
      <c r="B68" s="124" t="str">
        <f>preteurs_annees!C68</f>
        <v>Crédit Agricole</v>
      </c>
      <c r="C68" s="117"/>
      <c r="D68" s="117"/>
      <c r="E68" s="118"/>
      <c r="F68" s="117"/>
      <c r="G68" s="126" t="str">
        <f>IF(LEFT(A68,3)="vx_","vx",INDEX(Categorie,MATCH($A68,emprunts!$A$2:$A$149,0)))</f>
        <v>vx</v>
      </c>
      <c r="H68" s="124">
        <f>preteurs_annees!A68</f>
        <v>2005</v>
      </c>
      <c r="I68" s="119"/>
      <c r="J68" s="119"/>
      <c r="K68" s="119"/>
      <c r="L68" s="119"/>
      <c r="M68" s="119"/>
      <c r="N68" s="120"/>
      <c r="O68" s="127">
        <f>preteurs_annees!E68-preteurs_annees!O68</f>
        <v>0.33999999985098839</v>
      </c>
      <c r="P68" s="127"/>
      <c r="Q68" s="127">
        <f>preteurs_annees!G68-preteurs_annees!Q68</f>
        <v>0</v>
      </c>
      <c r="R68" s="127">
        <f>preteurs_annees!H68-preteurs_annees!R68</f>
        <v>0</v>
      </c>
      <c r="S68" s="127">
        <f>preteurs_annees!I68-preteurs_annees!S68</f>
        <v>0</v>
      </c>
      <c r="T68" s="127">
        <f>preteurs_annees!J68-preteurs_annees!T68</f>
        <v>0</v>
      </c>
      <c r="U68" s="127">
        <f t="shared" si="4"/>
        <v>0</v>
      </c>
      <c r="V68" s="119"/>
      <c r="W68" s="121"/>
      <c r="X68" s="119"/>
      <c r="Y68" s="122"/>
      <c r="Z68" s="123"/>
      <c r="AA68" s="123"/>
      <c r="AB68" s="123"/>
      <c r="AC68" s="127">
        <f t="shared" si="5"/>
        <v>0.33999999985098839</v>
      </c>
    </row>
    <row r="69" spans="1:29" s="96" customFormat="1">
      <c r="A69" s="125" t="str">
        <f t="shared" si="3"/>
        <v>vx_Rheinboden Hypothekenbank</v>
      </c>
      <c r="B69" s="124" t="str">
        <f>preteurs_annees!C69</f>
        <v>Rheinboden Hypothekenbank</v>
      </c>
      <c r="C69" s="117"/>
      <c r="D69" s="117"/>
      <c r="E69" s="118"/>
      <c r="F69" s="117"/>
      <c r="G69" s="126" t="str">
        <f>IF(LEFT(A69,3)="vx_","vx",INDEX(Categorie,MATCH($A69,emprunts!$A$2:$A$149,0)))</f>
        <v>vx</v>
      </c>
      <c r="H69" s="124">
        <f>preteurs_annees!A69</f>
        <v>2005</v>
      </c>
      <c r="I69" s="119"/>
      <c r="J69" s="119"/>
      <c r="K69" s="119"/>
      <c r="L69" s="119"/>
      <c r="M69" s="119"/>
      <c r="N69" s="120"/>
      <c r="O69" s="127">
        <f>preteurs_annees!E69-preteurs_annees!O69</f>
        <v>663153.23</v>
      </c>
      <c r="P69" s="127"/>
      <c r="Q69" s="127">
        <f>preteurs_annees!G69-preteurs_annees!Q69</f>
        <v>67626.77</v>
      </c>
      <c r="R69" s="127">
        <f>preteurs_annees!H69-preteurs_annees!R69</f>
        <v>133392.89000000001</v>
      </c>
      <c r="S69" s="127">
        <f>preteurs_annees!I69-preteurs_annees!S69</f>
        <v>0</v>
      </c>
      <c r="T69" s="127">
        <f>preteurs_annees!J69-preteurs_annees!T69</f>
        <v>0</v>
      </c>
      <c r="U69" s="127">
        <f t="shared" si="4"/>
        <v>201019.66000000003</v>
      </c>
      <c r="V69" s="119"/>
      <c r="W69" s="121"/>
      <c r="X69" s="119"/>
      <c r="Y69" s="122"/>
      <c r="Z69" s="123"/>
      <c r="AA69" s="123"/>
      <c r="AB69" s="123"/>
      <c r="AC69" s="127">
        <f t="shared" si="5"/>
        <v>729849.67500000005</v>
      </c>
    </row>
    <row r="70" spans="1:29" s="96" customFormat="1">
      <c r="A70" s="125" t="str">
        <f t="shared" si="3"/>
        <v>vx_CDC</v>
      </c>
      <c r="B70" s="124" t="str">
        <f>preteurs_annees!C70</f>
        <v>CDC</v>
      </c>
      <c r="C70" s="117"/>
      <c r="D70" s="117"/>
      <c r="E70" s="118"/>
      <c r="F70" s="117"/>
      <c r="G70" s="126" t="str">
        <f>IF(LEFT(A70,3)="vx_","vx",INDEX(Categorie,MATCH($A70,emprunts!$A$2:$A$149,0)))</f>
        <v>vx</v>
      </c>
      <c r="H70" s="124">
        <f>preteurs_annees!A70</f>
        <v>2006</v>
      </c>
      <c r="I70" s="119"/>
      <c r="J70" s="119"/>
      <c r="K70" s="119"/>
      <c r="L70" s="119"/>
      <c r="M70" s="119"/>
      <c r="N70" s="120"/>
      <c r="O70" s="127">
        <f>preteurs_annees!E70-preteurs_annees!O70</f>
        <v>1775872.5999999996</v>
      </c>
      <c r="P70" s="127"/>
      <c r="Q70" s="127">
        <f>preteurs_annees!G70-preteurs_annees!Q70</f>
        <v>285301.97000000009</v>
      </c>
      <c r="R70" s="127">
        <f>preteurs_annees!H70-preteurs_annees!R70</f>
        <v>6550859.04</v>
      </c>
      <c r="S70" s="127">
        <f>preteurs_annees!I70-preteurs_annees!S70</f>
        <v>0</v>
      </c>
      <c r="T70" s="128">
        <f>IF(Q70=0,0,IF(Q59=0,0,T59/Q59*Q70))</f>
        <v>38135.862887256153</v>
      </c>
      <c r="U70" s="127">
        <f t="shared" si="4"/>
        <v>6836161.0099999998</v>
      </c>
      <c r="V70" s="119"/>
      <c r="W70" s="121"/>
      <c r="X70" s="119"/>
      <c r="Y70" s="122"/>
      <c r="Z70" s="123"/>
      <c r="AA70" s="123"/>
      <c r="AB70" s="123"/>
      <c r="AC70" s="127">
        <f t="shared" si="5"/>
        <v>5051302.1199999992</v>
      </c>
    </row>
    <row r="71" spans="1:29" s="96" customFormat="1">
      <c r="A71" s="125" t="str">
        <f t="shared" si="3"/>
        <v>vx_Dexia CL</v>
      </c>
      <c r="B71" s="124" t="str">
        <f>preteurs_annees!C71</f>
        <v>Dexia CL</v>
      </c>
      <c r="C71" s="117"/>
      <c r="D71" s="117"/>
      <c r="E71" s="118"/>
      <c r="F71" s="117"/>
      <c r="G71" s="126" t="str">
        <f>IF(LEFT(A71,3)="vx_","vx",INDEX(Categorie,MATCH($A71,emprunts!$A$2:$A$149,0)))</f>
        <v>vx</v>
      </c>
      <c r="H71" s="124">
        <f>preteurs_annees!A71</f>
        <v>2006</v>
      </c>
      <c r="I71" s="119"/>
      <c r="J71" s="119"/>
      <c r="K71" s="119"/>
      <c r="L71" s="119"/>
      <c r="M71" s="119"/>
      <c r="N71" s="120"/>
      <c r="O71" s="127">
        <f>preteurs_annees!E71-preteurs_annees!O71</f>
        <v>1550718.6399999857</v>
      </c>
      <c r="P71" s="127"/>
      <c r="Q71" s="127">
        <f>preteurs_annees!G71-preteurs_annees!Q71</f>
        <v>278505.21999999974</v>
      </c>
      <c r="R71" s="127">
        <f>preteurs_annees!H71-preteurs_annees!R71</f>
        <v>38112.249999999069</v>
      </c>
      <c r="S71" s="127">
        <f>preteurs_annees!I71-preteurs_annees!S71</f>
        <v>0</v>
      </c>
      <c r="T71" s="128">
        <f t="shared" ref="T71:T122" si="6">IF(Q71=0,0,IF(Q60=0,0,T60/Q60*Q71))</f>
        <v>147024.53856449848</v>
      </c>
      <c r="U71" s="127">
        <f t="shared" si="4"/>
        <v>316617.46999999881</v>
      </c>
      <c r="V71" s="119"/>
      <c r="W71" s="121"/>
      <c r="X71" s="119"/>
      <c r="Y71" s="122"/>
      <c r="Z71" s="123"/>
      <c r="AA71" s="123"/>
      <c r="AB71" s="123"/>
      <c r="AC71" s="127">
        <f t="shared" si="5"/>
        <v>1569774.7649999852</v>
      </c>
    </row>
    <row r="72" spans="1:29" s="96" customFormat="1">
      <c r="A72" s="125" t="str">
        <f t="shared" si="3"/>
        <v>vx_Caisse d'Épargne</v>
      </c>
      <c r="B72" s="124" t="str">
        <f>preteurs_annees!C72</f>
        <v>Caisse d'Épargne</v>
      </c>
      <c r="C72" s="117"/>
      <c r="D72" s="117"/>
      <c r="E72" s="118"/>
      <c r="F72" s="117"/>
      <c r="G72" s="126" t="str">
        <f>IF(LEFT(A72,3)="vx_","vx",INDEX(Categorie,MATCH($A72,emprunts!$A$2:$A$149,0)))</f>
        <v>vx</v>
      </c>
      <c r="H72" s="124">
        <f>preteurs_annees!A72</f>
        <v>2006</v>
      </c>
      <c r="I72" s="119"/>
      <c r="J72" s="119"/>
      <c r="K72" s="119"/>
      <c r="L72" s="119"/>
      <c r="M72" s="119"/>
      <c r="N72" s="120"/>
      <c r="O72" s="127">
        <f>preteurs_annees!E72-preteurs_annees!O72</f>
        <v>-0.42999999970197678</v>
      </c>
      <c r="P72" s="127"/>
      <c r="Q72" s="127">
        <f>preteurs_annees!G72-preteurs_annees!Q72</f>
        <v>0</v>
      </c>
      <c r="R72" s="127">
        <f>preteurs_annees!H72-preteurs_annees!R72</f>
        <v>0</v>
      </c>
      <c r="S72" s="127">
        <f>preteurs_annees!I72-preteurs_annees!S72</f>
        <v>0</v>
      </c>
      <c r="T72" s="128">
        <f t="shared" si="6"/>
        <v>0</v>
      </c>
      <c r="U72" s="127">
        <f t="shared" si="4"/>
        <v>0</v>
      </c>
      <c r="V72" s="119"/>
      <c r="W72" s="121"/>
      <c r="X72" s="119"/>
      <c r="Y72" s="122"/>
      <c r="Z72" s="123"/>
      <c r="AA72" s="123"/>
      <c r="AB72" s="123"/>
      <c r="AC72" s="127">
        <f t="shared" si="5"/>
        <v>0</v>
      </c>
    </row>
    <row r="73" spans="1:29" s="96" customFormat="1">
      <c r="A73" s="125" t="str">
        <f t="shared" si="3"/>
        <v>vx_Crédit Mutuel</v>
      </c>
      <c r="B73" s="124" t="str">
        <f>preteurs_annees!C73</f>
        <v>Crédit Mutuel</v>
      </c>
      <c r="C73" s="117"/>
      <c r="D73" s="117"/>
      <c r="E73" s="118"/>
      <c r="F73" s="117"/>
      <c r="G73" s="126" t="str">
        <f>IF(LEFT(A73,3)="vx_","vx",INDEX(Categorie,MATCH($A73,emprunts!$A$2:$A$149,0)))</f>
        <v>vx</v>
      </c>
      <c r="H73" s="124">
        <f>preteurs_annees!A73</f>
        <v>2006</v>
      </c>
      <c r="I73" s="119"/>
      <c r="J73" s="119"/>
      <c r="K73" s="119"/>
      <c r="L73" s="119"/>
      <c r="M73" s="119"/>
      <c r="N73" s="120"/>
      <c r="O73" s="127">
        <f>preteurs_annees!E73-preteurs_annees!O73</f>
        <v>2.0000000018626451E-2</v>
      </c>
      <c r="P73" s="127"/>
      <c r="Q73" s="127">
        <f>preteurs_annees!G73-preteurs_annees!Q73</f>
        <v>0</v>
      </c>
      <c r="R73" s="127">
        <f>preteurs_annees!H73-preteurs_annees!R73</f>
        <v>0</v>
      </c>
      <c r="S73" s="127">
        <f>preteurs_annees!I73-preteurs_annees!S73</f>
        <v>0</v>
      </c>
      <c r="T73" s="128">
        <f t="shared" si="6"/>
        <v>0</v>
      </c>
      <c r="U73" s="127">
        <f t="shared" si="4"/>
        <v>0</v>
      </c>
      <c r="V73" s="119"/>
      <c r="W73" s="121"/>
      <c r="X73" s="119"/>
      <c r="Y73" s="122"/>
      <c r="Z73" s="123"/>
      <c r="AA73" s="123"/>
      <c r="AB73" s="123"/>
      <c r="AC73" s="127">
        <f t="shared" si="5"/>
        <v>2.0000000018626451E-2</v>
      </c>
    </row>
    <row r="74" spans="1:29" s="96" customFormat="1">
      <c r="A74" s="125" t="str">
        <f t="shared" si="3"/>
        <v>vx_Société générale</v>
      </c>
      <c r="B74" s="124" t="str">
        <f>preteurs_annees!C74</f>
        <v>Société générale</v>
      </c>
      <c r="C74" s="117"/>
      <c r="D74" s="117"/>
      <c r="E74" s="118"/>
      <c r="F74" s="117"/>
      <c r="G74" s="126" t="str">
        <f>IF(LEFT(A74,3)="vx_","vx",INDEX(Categorie,MATCH($A74,emprunts!$A$2:$A$149,0)))</f>
        <v>vx</v>
      </c>
      <c r="H74" s="124">
        <f>preteurs_annees!A74</f>
        <v>2006</v>
      </c>
      <c r="I74" s="119"/>
      <c r="J74" s="119"/>
      <c r="K74" s="119"/>
      <c r="L74" s="119"/>
      <c r="M74" s="119"/>
      <c r="N74" s="120"/>
      <c r="O74" s="127">
        <f>preteurs_annees!E74-preteurs_annees!O74</f>
        <v>526325.8200000003</v>
      </c>
      <c r="P74" s="127"/>
      <c r="Q74" s="127">
        <f>preteurs_annees!G74-preteurs_annees!Q74</f>
        <v>64748.65</v>
      </c>
      <c r="R74" s="127">
        <f>preteurs_annees!H74-preteurs_annees!R74</f>
        <v>494946.25</v>
      </c>
      <c r="S74" s="127">
        <f>preteurs_annees!I74-preteurs_annees!S74</f>
        <v>0</v>
      </c>
      <c r="T74" s="128">
        <f t="shared" si="6"/>
        <v>25590.129287714208</v>
      </c>
      <c r="U74" s="127">
        <f t="shared" si="4"/>
        <v>559694.9</v>
      </c>
      <c r="V74" s="119"/>
      <c r="W74" s="121"/>
      <c r="X74" s="119"/>
      <c r="Y74" s="122"/>
      <c r="Z74" s="123"/>
      <c r="AA74" s="123"/>
      <c r="AB74" s="123"/>
      <c r="AC74" s="127">
        <f t="shared" si="5"/>
        <v>773798.9450000003</v>
      </c>
    </row>
    <row r="75" spans="1:29" s="96" customFormat="1">
      <c r="A75" s="125" t="str">
        <f t="shared" si="3"/>
        <v>vx_Crédit Foncier</v>
      </c>
      <c r="B75" s="124" t="str">
        <f>preteurs_annees!C75</f>
        <v>Crédit Foncier</v>
      </c>
      <c r="C75" s="117"/>
      <c r="D75" s="117"/>
      <c r="E75" s="118"/>
      <c r="F75" s="117"/>
      <c r="G75" s="126" t="str">
        <f>IF(LEFT(A75,3)="vx_","vx",INDEX(Categorie,MATCH($A75,emprunts!$A$2:$A$149,0)))</f>
        <v>vx</v>
      </c>
      <c r="H75" s="124">
        <f>preteurs_annees!A75</f>
        <v>2006</v>
      </c>
      <c r="I75" s="119"/>
      <c r="J75" s="119"/>
      <c r="K75" s="119"/>
      <c r="L75" s="119"/>
      <c r="M75" s="119"/>
      <c r="N75" s="120"/>
      <c r="O75" s="127">
        <f>preteurs_annees!E75-preteurs_annees!O75</f>
        <v>0</v>
      </c>
      <c r="P75" s="127"/>
      <c r="Q75" s="127">
        <f>preteurs_annees!G75-preteurs_annees!Q75</f>
        <v>0</v>
      </c>
      <c r="R75" s="127">
        <f>preteurs_annees!H75-preteurs_annees!R75</f>
        <v>0</v>
      </c>
      <c r="S75" s="127">
        <f>preteurs_annees!I75-preteurs_annees!S75</f>
        <v>0</v>
      </c>
      <c r="T75" s="128">
        <f t="shared" si="6"/>
        <v>0</v>
      </c>
      <c r="U75" s="127">
        <f t="shared" si="4"/>
        <v>0</v>
      </c>
      <c r="V75" s="119"/>
      <c r="W75" s="121"/>
      <c r="X75" s="119"/>
      <c r="Y75" s="122"/>
      <c r="Z75" s="123"/>
      <c r="AA75" s="123"/>
      <c r="AB75" s="123"/>
      <c r="AC75" s="127">
        <f t="shared" si="5"/>
        <v>0</v>
      </c>
    </row>
    <row r="76" spans="1:29" s="96" customFormat="1">
      <c r="A76" s="125" t="str">
        <f t="shared" si="3"/>
        <v>vx_Auxifip CEPME</v>
      </c>
      <c r="B76" s="124" t="str">
        <f>preteurs_annees!C76</f>
        <v>Auxifip CEPME</v>
      </c>
      <c r="C76" s="117"/>
      <c r="D76" s="117"/>
      <c r="E76" s="118"/>
      <c r="F76" s="117"/>
      <c r="G76" s="126" t="str">
        <f>IF(LEFT(A76,3)="vx_","vx",INDEX(Categorie,MATCH($A76,emprunts!$A$2:$A$149,0)))</f>
        <v>vx</v>
      </c>
      <c r="H76" s="124">
        <f>preteurs_annees!A76</f>
        <v>2006</v>
      </c>
      <c r="I76" s="119"/>
      <c r="J76" s="119"/>
      <c r="K76" s="119"/>
      <c r="L76" s="119"/>
      <c r="M76" s="119"/>
      <c r="N76" s="120"/>
      <c r="O76" s="127">
        <f>preteurs_annees!E76-preteurs_annees!O76</f>
        <v>1041991.74</v>
      </c>
      <c r="P76" s="127"/>
      <c r="Q76" s="127">
        <f>preteurs_annees!G76-preteurs_annees!Q76</f>
        <v>106900.65</v>
      </c>
      <c r="R76" s="127">
        <f>preteurs_annees!H76-preteurs_annees!R76</f>
        <v>424439.49</v>
      </c>
      <c r="S76" s="127">
        <f>preteurs_annees!I76-preteurs_annees!S76</f>
        <v>0</v>
      </c>
      <c r="T76" s="128">
        <f t="shared" si="6"/>
        <v>0</v>
      </c>
      <c r="U76" s="127">
        <f t="shared" si="4"/>
        <v>531340.14</v>
      </c>
      <c r="V76" s="119"/>
      <c r="W76" s="121"/>
      <c r="X76" s="119"/>
      <c r="Y76" s="122"/>
      <c r="Z76" s="123"/>
      <c r="AA76" s="123"/>
      <c r="AB76" s="123"/>
      <c r="AC76" s="127">
        <f t="shared" si="5"/>
        <v>1254211.4849999999</v>
      </c>
    </row>
    <row r="77" spans="1:29" s="96" customFormat="1">
      <c r="A77" s="125" t="str">
        <f t="shared" si="3"/>
        <v>vx_Natixis</v>
      </c>
      <c r="B77" s="124" t="str">
        <f>preteurs_annees!C77</f>
        <v>Natixis</v>
      </c>
      <c r="C77" s="117"/>
      <c r="D77" s="117"/>
      <c r="E77" s="118"/>
      <c r="F77" s="117"/>
      <c r="G77" s="126" t="str">
        <f>IF(LEFT(A77,3)="vx_","vx",INDEX(Categorie,MATCH($A77,emprunts!$A$2:$A$149,0)))</f>
        <v>vx</v>
      </c>
      <c r="H77" s="124">
        <f>preteurs_annees!A77</f>
        <v>2006</v>
      </c>
      <c r="I77" s="119"/>
      <c r="J77" s="119"/>
      <c r="K77" s="119"/>
      <c r="L77" s="119"/>
      <c r="M77" s="119"/>
      <c r="N77" s="120"/>
      <c r="O77" s="127">
        <f>preteurs_annees!E77-preteurs_annees!O77</f>
        <v>0</v>
      </c>
      <c r="P77" s="127"/>
      <c r="Q77" s="127">
        <f>preteurs_annees!G77-preteurs_annees!Q77</f>
        <v>0</v>
      </c>
      <c r="R77" s="127">
        <f>preteurs_annees!H77-preteurs_annees!R77</f>
        <v>0</v>
      </c>
      <c r="S77" s="127">
        <f>preteurs_annees!I77-preteurs_annees!S77</f>
        <v>0</v>
      </c>
      <c r="T77" s="128">
        <f t="shared" si="6"/>
        <v>0</v>
      </c>
      <c r="U77" s="127">
        <f t="shared" si="4"/>
        <v>0</v>
      </c>
      <c r="V77" s="119"/>
      <c r="W77" s="121"/>
      <c r="X77" s="119"/>
      <c r="Y77" s="122"/>
      <c r="Z77" s="123"/>
      <c r="AA77" s="123"/>
      <c r="AB77" s="123"/>
      <c r="AC77" s="127">
        <f t="shared" si="5"/>
        <v>0</v>
      </c>
    </row>
    <row r="78" spans="1:29" s="96" customFormat="1">
      <c r="A78" s="125" t="str">
        <f t="shared" si="3"/>
        <v>vx_Deutsche Hypothekenbank</v>
      </c>
      <c r="B78" s="124" t="str">
        <f>preteurs_annees!C78</f>
        <v>Deutsche Hypothekenbank</v>
      </c>
      <c r="C78" s="117"/>
      <c r="D78" s="117"/>
      <c r="E78" s="118"/>
      <c r="F78" s="117"/>
      <c r="G78" s="126" t="str">
        <f>IF(LEFT(A78,3)="vx_","vx",INDEX(Categorie,MATCH($A78,emprunts!$A$2:$A$149,0)))</f>
        <v>vx</v>
      </c>
      <c r="H78" s="124">
        <f>preteurs_annees!A78</f>
        <v>2006</v>
      </c>
      <c r="I78" s="119"/>
      <c r="J78" s="119"/>
      <c r="K78" s="119"/>
      <c r="L78" s="119"/>
      <c r="M78" s="119"/>
      <c r="N78" s="120"/>
      <c r="O78" s="127">
        <f>preteurs_annees!E78-preteurs_annees!O78</f>
        <v>0</v>
      </c>
      <c r="P78" s="127"/>
      <c r="Q78" s="127">
        <f>preteurs_annees!G78-preteurs_annees!Q78</f>
        <v>0</v>
      </c>
      <c r="R78" s="127">
        <f>preteurs_annees!H78-preteurs_annees!R78</f>
        <v>0</v>
      </c>
      <c r="S78" s="127">
        <f>preteurs_annees!I78-preteurs_annees!S78</f>
        <v>0</v>
      </c>
      <c r="T78" s="128">
        <f t="shared" si="6"/>
        <v>0</v>
      </c>
      <c r="U78" s="127">
        <f t="shared" si="4"/>
        <v>0</v>
      </c>
      <c r="V78" s="119"/>
      <c r="W78" s="121"/>
      <c r="X78" s="119"/>
      <c r="Y78" s="122"/>
      <c r="Z78" s="123"/>
      <c r="AA78" s="123"/>
      <c r="AB78" s="123"/>
      <c r="AC78" s="127">
        <f t="shared" si="5"/>
        <v>0</v>
      </c>
    </row>
    <row r="79" spans="1:29" s="96" customFormat="1">
      <c r="A79" s="125" t="str">
        <f t="shared" si="3"/>
        <v>vx_Crédit Agricole</v>
      </c>
      <c r="B79" s="124" t="str">
        <f>preteurs_annees!C79</f>
        <v>Crédit Agricole</v>
      </c>
      <c r="C79" s="117"/>
      <c r="D79" s="117"/>
      <c r="E79" s="118"/>
      <c r="F79" s="117"/>
      <c r="G79" s="126" t="str">
        <f>IF(LEFT(A79,3)="vx_","vx",INDEX(Categorie,MATCH($A79,emprunts!$A$2:$A$149,0)))</f>
        <v>vx</v>
      </c>
      <c r="H79" s="124">
        <f>preteurs_annees!A79</f>
        <v>2006</v>
      </c>
      <c r="I79" s="119"/>
      <c r="J79" s="119"/>
      <c r="K79" s="119"/>
      <c r="L79" s="119"/>
      <c r="M79" s="119"/>
      <c r="N79" s="120"/>
      <c r="O79" s="127">
        <f>preteurs_annees!E79-preteurs_annees!O79</f>
        <v>0.34999999962747097</v>
      </c>
      <c r="P79" s="127"/>
      <c r="Q79" s="127">
        <f>preteurs_annees!G79-preteurs_annees!Q79</f>
        <v>0</v>
      </c>
      <c r="R79" s="127">
        <f>preteurs_annees!H79-preteurs_annees!R79</f>
        <v>0</v>
      </c>
      <c r="S79" s="127">
        <f>preteurs_annees!I79-preteurs_annees!S79</f>
        <v>0</v>
      </c>
      <c r="T79" s="128">
        <f t="shared" si="6"/>
        <v>0</v>
      </c>
      <c r="U79" s="127">
        <f t="shared" si="4"/>
        <v>0</v>
      </c>
      <c r="V79" s="119"/>
      <c r="W79" s="121"/>
      <c r="X79" s="119"/>
      <c r="Y79" s="122"/>
      <c r="Z79" s="123"/>
      <c r="AA79" s="123"/>
      <c r="AB79" s="123"/>
      <c r="AC79" s="127">
        <f t="shared" si="5"/>
        <v>0.34999999962747097</v>
      </c>
    </row>
    <row r="80" spans="1:29" s="96" customFormat="1">
      <c r="A80" s="125" t="str">
        <f t="shared" si="3"/>
        <v>vx_Rheinboden Hypothekenbank</v>
      </c>
      <c r="B80" s="124" t="str">
        <f>preteurs_annees!C80</f>
        <v>Rheinboden Hypothekenbank</v>
      </c>
      <c r="C80" s="117"/>
      <c r="D80" s="117"/>
      <c r="E80" s="118"/>
      <c r="F80" s="117"/>
      <c r="G80" s="126" t="str">
        <f>IF(LEFT(A80,3)="vx_","vx",INDEX(Categorie,MATCH($A80,emprunts!$A$2:$A$149,0)))</f>
        <v>vx</v>
      </c>
      <c r="H80" s="124">
        <f>preteurs_annees!A80</f>
        <v>2006</v>
      </c>
      <c r="I80" s="119"/>
      <c r="J80" s="119"/>
      <c r="K80" s="119"/>
      <c r="L80" s="119"/>
      <c r="M80" s="119"/>
      <c r="N80" s="120"/>
      <c r="O80" s="127">
        <f>preteurs_annees!E80-preteurs_annees!O80</f>
        <v>529760.34</v>
      </c>
      <c r="P80" s="127"/>
      <c r="Q80" s="127">
        <f>preteurs_annees!G80-preteurs_annees!Q80</f>
        <v>21884.06</v>
      </c>
      <c r="R80" s="127">
        <f>preteurs_annees!H80-preteurs_annees!R80</f>
        <v>133392.89000000001</v>
      </c>
      <c r="S80" s="127">
        <f>preteurs_annees!I80-preteurs_annees!S80</f>
        <v>0</v>
      </c>
      <c r="T80" s="128">
        <f t="shared" si="6"/>
        <v>0</v>
      </c>
      <c r="U80" s="127">
        <f t="shared" si="4"/>
        <v>155276.95000000001</v>
      </c>
      <c r="V80" s="119"/>
      <c r="W80" s="121"/>
      <c r="X80" s="119"/>
      <c r="Y80" s="122"/>
      <c r="Z80" s="123"/>
      <c r="AA80" s="123"/>
      <c r="AB80" s="123"/>
      <c r="AC80" s="127">
        <f t="shared" si="5"/>
        <v>596456.78499999992</v>
      </c>
    </row>
    <row r="81" spans="1:29" s="96" customFormat="1">
      <c r="A81" s="125" t="str">
        <f t="shared" si="3"/>
        <v>vx_CDC</v>
      </c>
      <c r="B81" s="124" t="str">
        <f>preteurs_annees!C81</f>
        <v>CDC</v>
      </c>
      <c r="C81" s="117"/>
      <c r="D81" s="117"/>
      <c r="E81" s="118"/>
      <c r="F81" s="117"/>
      <c r="G81" s="126" t="str">
        <f>IF(LEFT(A81,3)="vx_","vx",INDEX(Categorie,MATCH($A81,emprunts!$A$2:$A$149,0)))</f>
        <v>vx</v>
      </c>
      <c r="H81" s="124">
        <f>preteurs_annees!A81</f>
        <v>2007</v>
      </c>
      <c r="I81" s="119"/>
      <c r="J81" s="119"/>
      <c r="K81" s="119"/>
      <c r="L81" s="119"/>
      <c r="M81" s="119"/>
      <c r="N81" s="120"/>
      <c r="O81" s="127">
        <f>preteurs_annees!E81-preteurs_annees!O81</f>
        <v>48957.339999999851</v>
      </c>
      <c r="P81" s="127"/>
      <c r="Q81" s="127">
        <f>preteurs_annees!G81-preteurs_annees!Q81</f>
        <v>59136.320000000007</v>
      </c>
      <c r="R81" s="127">
        <f>preteurs_annees!H81-preteurs_annees!R81</f>
        <v>-3378138.82</v>
      </c>
      <c r="S81" s="127">
        <f>preteurs_annees!I81-preteurs_annees!S81</f>
        <v>0</v>
      </c>
      <c r="T81" s="128">
        <f t="shared" si="6"/>
        <v>7904.6583210655826</v>
      </c>
      <c r="U81" s="127">
        <f t="shared" si="4"/>
        <v>-3319002.5</v>
      </c>
      <c r="V81" s="119"/>
      <c r="W81" s="121"/>
      <c r="X81" s="119"/>
      <c r="Y81" s="122"/>
      <c r="Z81" s="123"/>
      <c r="AA81" s="123"/>
      <c r="AB81" s="123"/>
      <c r="AC81" s="127">
        <f t="shared" si="5"/>
        <v>0</v>
      </c>
    </row>
    <row r="82" spans="1:29" s="96" customFormat="1">
      <c r="A82" s="125" t="str">
        <f t="shared" si="3"/>
        <v>vx_Dexia CL</v>
      </c>
      <c r="B82" s="124" t="str">
        <f>preteurs_annees!C82</f>
        <v>Dexia CL</v>
      </c>
      <c r="C82" s="117"/>
      <c r="D82" s="117"/>
      <c r="E82" s="118"/>
      <c r="F82" s="117"/>
      <c r="G82" s="126" t="str">
        <f>IF(LEFT(A82,3)="vx_","vx",INDEX(Categorie,MATCH($A82,emprunts!$A$2:$A$149,0)))</f>
        <v>vx</v>
      </c>
      <c r="H82" s="124">
        <f>preteurs_annees!A82</f>
        <v>2007</v>
      </c>
      <c r="I82" s="119"/>
      <c r="J82" s="119"/>
      <c r="K82" s="119"/>
      <c r="L82" s="119"/>
      <c r="M82" s="119"/>
      <c r="N82" s="120"/>
      <c r="O82" s="127">
        <f>preteurs_annees!E82-preteurs_annees!O82</f>
        <v>-339999.15000000596</v>
      </c>
      <c r="P82" s="127"/>
      <c r="Q82" s="127">
        <f>preteurs_annees!G82-preteurs_annees!Q82</f>
        <v>3.9999998174607754E-2</v>
      </c>
      <c r="R82" s="127">
        <f>preteurs_annees!H82-preteurs_annees!R82</f>
        <v>0</v>
      </c>
      <c r="S82" s="127">
        <f>preteurs_annees!I82-preteurs_annees!S82</f>
        <v>0</v>
      </c>
      <c r="T82" s="128">
        <f t="shared" si="6"/>
        <v>2.1116233563602479E-2</v>
      </c>
      <c r="U82" s="127">
        <f t="shared" si="4"/>
        <v>3.9999998174607754E-2</v>
      </c>
      <c r="V82" s="119"/>
      <c r="W82" s="121"/>
      <c r="X82" s="119"/>
      <c r="Y82" s="122"/>
      <c r="Z82" s="123"/>
      <c r="AA82" s="123"/>
      <c r="AB82" s="123"/>
      <c r="AC82" s="127">
        <f t="shared" si="5"/>
        <v>0</v>
      </c>
    </row>
    <row r="83" spans="1:29" s="96" customFormat="1">
      <c r="A83" s="125" t="str">
        <f t="shared" si="3"/>
        <v>vx_Caisse d'Épargne</v>
      </c>
      <c r="B83" s="124" t="str">
        <f>preteurs_annees!C83</f>
        <v>Caisse d'Épargne</v>
      </c>
      <c r="C83" s="117"/>
      <c r="D83" s="117"/>
      <c r="E83" s="118"/>
      <c r="F83" s="117"/>
      <c r="G83" s="126" t="str">
        <f>IF(LEFT(A83,3)="vx_","vx",INDEX(Categorie,MATCH($A83,emprunts!$A$2:$A$149,0)))</f>
        <v>vx</v>
      </c>
      <c r="H83" s="124">
        <f>preteurs_annees!A83</f>
        <v>2007</v>
      </c>
      <c r="I83" s="119"/>
      <c r="J83" s="119"/>
      <c r="K83" s="119"/>
      <c r="L83" s="119"/>
      <c r="M83" s="119"/>
      <c r="N83" s="120"/>
      <c r="O83" s="127">
        <f>preteurs_annees!E83-preteurs_annees!O83</f>
        <v>0.7199999988079071</v>
      </c>
      <c r="P83" s="127"/>
      <c r="Q83" s="127">
        <f>preteurs_annees!G83-preteurs_annees!Q83</f>
        <v>0</v>
      </c>
      <c r="R83" s="127">
        <f>preteurs_annees!H83-preteurs_annees!R83</f>
        <v>0</v>
      </c>
      <c r="S83" s="127">
        <f>preteurs_annees!I83-preteurs_annees!S83</f>
        <v>0</v>
      </c>
      <c r="T83" s="128">
        <f t="shared" si="6"/>
        <v>0</v>
      </c>
      <c r="U83" s="127">
        <f t="shared" si="4"/>
        <v>0</v>
      </c>
      <c r="V83" s="119"/>
      <c r="W83" s="121"/>
      <c r="X83" s="119"/>
      <c r="Y83" s="122"/>
      <c r="Z83" s="123"/>
      <c r="AA83" s="123"/>
      <c r="AB83" s="123"/>
      <c r="AC83" s="127">
        <f t="shared" si="5"/>
        <v>0.7199999988079071</v>
      </c>
    </row>
    <row r="84" spans="1:29" s="96" customFormat="1">
      <c r="A84" s="125" t="str">
        <f t="shared" si="3"/>
        <v>vx_Crédit Mutuel</v>
      </c>
      <c r="B84" s="124" t="str">
        <f>preteurs_annees!C84</f>
        <v>Crédit Mutuel</v>
      </c>
      <c r="C84" s="117"/>
      <c r="D84" s="117"/>
      <c r="E84" s="118"/>
      <c r="F84" s="117"/>
      <c r="G84" s="126" t="str">
        <f>IF(LEFT(A84,3)="vx_","vx",INDEX(Categorie,MATCH($A84,emprunts!$A$2:$A$149,0)))</f>
        <v>vx</v>
      </c>
      <c r="H84" s="124">
        <f>preteurs_annees!A84</f>
        <v>2007</v>
      </c>
      <c r="I84" s="119"/>
      <c r="J84" s="119"/>
      <c r="K84" s="119"/>
      <c r="L84" s="119"/>
      <c r="M84" s="119"/>
      <c r="N84" s="120"/>
      <c r="O84" s="127">
        <f>preteurs_annees!E84-preteurs_annees!O84</f>
        <v>-0.10000000009313226</v>
      </c>
      <c r="P84" s="127"/>
      <c r="Q84" s="127">
        <f>preteurs_annees!G84-preteurs_annees!Q84</f>
        <v>0</v>
      </c>
      <c r="R84" s="127">
        <f>preteurs_annees!H84-preteurs_annees!R84</f>
        <v>0</v>
      </c>
      <c r="S84" s="127">
        <f>preteurs_annees!I84-preteurs_annees!S84</f>
        <v>0</v>
      </c>
      <c r="T84" s="128">
        <f t="shared" si="6"/>
        <v>0</v>
      </c>
      <c r="U84" s="127">
        <f t="shared" si="4"/>
        <v>0</v>
      </c>
      <c r="V84" s="119"/>
      <c r="W84" s="121"/>
      <c r="X84" s="119"/>
      <c r="Y84" s="122"/>
      <c r="Z84" s="123"/>
      <c r="AA84" s="123"/>
      <c r="AB84" s="123"/>
      <c r="AC84" s="127">
        <f t="shared" si="5"/>
        <v>0</v>
      </c>
    </row>
    <row r="85" spans="1:29" s="96" customFormat="1">
      <c r="A85" s="125" t="str">
        <f t="shared" si="3"/>
        <v>vx_Société générale</v>
      </c>
      <c r="B85" s="124" t="str">
        <f>preteurs_annees!C85</f>
        <v>Société générale</v>
      </c>
      <c r="C85" s="117"/>
      <c r="D85" s="117"/>
      <c r="E85" s="118"/>
      <c r="F85" s="117"/>
      <c r="G85" s="126" t="str">
        <f>IF(LEFT(A85,3)="vx_","vx",INDEX(Categorie,MATCH($A85,emprunts!$A$2:$A$149,0)))</f>
        <v>vx</v>
      </c>
      <c r="H85" s="124">
        <f>preteurs_annees!A85</f>
        <v>2007</v>
      </c>
      <c r="I85" s="119"/>
      <c r="J85" s="119"/>
      <c r="K85" s="119"/>
      <c r="L85" s="119"/>
      <c r="M85" s="119"/>
      <c r="N85" s="120"/>
      <c r="O85" s="127">
        <f>preteurs_annees!E85-preteurs_annees!O85</f>
        <v>-4000000.25</v>
      </c>
      <c r="P85" s="127"/>
      <c r="Q85" s="127">
        <f>preteurs_annees!G85-preteurs_annees!Q85</f>
        <v>33369.080000000016</v>
      </c>
      <c r="R85" s="127">
        <f>preteurs_annees!H85-preteurs_annees!R85</f>
        <v>526325.81999999995</v>
      </c>
      <c r="S85" s="127">
        <f>preteurs_annees!I85-preteurs_annees!S85</f>
        <v>0</v>
      </c>
      <c r="T85" s="128">
        <f t="shared" si="6"/>
        <v>13188.214293457528</v>
      </c>
      <c r="U85" s="127">
        <f t="shared" si="4"/>
        <v>559694.89999999991</v>
      </c>
      <c r="V85" s="119"/>
      <c r="W85" s="121"/>
      <c r="X85" s="119"/>
      <c r="Y85" s="122"/>
      <c r="Z85" s="123"/>
      <c r="AA85" s="123"/>
      <c r="AB85" s="123"/>
      <c r="AC85" s="127">
        <f t="shared" si="5"/>
        <v>0</v>
      </c>
    </row>
    <row r="86" spans="1:29" s="96" customFormat="1">
      <c r="A86" s="125" t="str">
        <f t="shared" si="3"/>
        <v>vx_Crédit Foncier</v>
      </c>
      <c r="B86" s="124" t="str">
        <f>preteurs_annees!C86</f>
        <v>Crédit Foncier</v>
      </c>
      <c r="C86" s="117"/>
      <c r="D86" s="117"/>
      <c r="E86" s="118"/>
      <c r="F86" s="117"/>
      <c r="G86" s="126" t="str">
        <f>IF(LEFT(A86,3)="vx_","vx",INDEX(Categorie,MATCH($A86,emprunts!$A$2:$A$149,0)))</f>
        <v>vx</v>
      </c>
      <c r="H86" s="124">
        <f>preteurs_annees!A86</f>
        <v>2007</v>
      </c>
      <c r="I86" s="119"/>
      <c r="J86" s="119"/>
      <c r="K86" s="119"/>
      <c r="L86" s="119"/>
      <c r="M86" s="119"/>
      <c r="N86" s="120"/>
      <c r="O86" s="127">
        <f>preteurs_annees!E86-preteurs_annees!O86</f>
        <v>0</v>
      </c>
      <c r="P86" s="127"/>
      <c r="Q86" s="127">
        <f>preteurs_annees!G86-preteurs_annees!Q86</f>
        <v>0</v>
      </c>
      <c r="R86" s="127">
        <f>preteurs_annees!H86-preteurs_annees!R86</f>
        <v>0</v>
      </c>
      <c r="S86" s="127">
        <f>preteurs_annees!I86-preteurs_annees!S86</f>
        <v>0</v>
      </c>
      <c r="T86" s="128">
        <f t="shared" si="6"/>
        <v>0</v>
      </c>
      <c r="U86" s="127">
        <f t="shared" si="4"/>
        <v>0</v>
      </c>
      <c r="V86" s="119"/>
      <c r="W86" s="121"/>
      <c r="X86" s="119"/>
      <c r="Y86" s="122"/>
      <c r="Z86" s="123"/>
      <c r="AA86" s="123"/>
      <c r="AB86" s="123"/>
      <c r="AC86" s="127">
        <f t="shared" si="5"/>
        <v>0</v>
      </c>
    </row>
    <row r="87" spans="1:29" s="96" customFormat="1">
      <c r="A87" s="125" t="str">
        <f t="shared" si="3"/>
        <v>vx_Auxifip CEPME</v>
      </c>
      <c r="B87" s="124" t="str">
        <f>preteurs_annees!C87</f>
        <v>Auxifip CEPME</v>
      </c>
      <c r="C87" s="117"/>
      <c r="D87" s="117"/>
      <c r="E87" s="118"/>
      <c r="F87" s="117"/>
      <c r="G87" s="126" t="str">
        <f>IF(LEFT(A87,3)="vx_","vx",INDEX(Categorie,MATCH($A87,emprunts!$A$2:$A$149,0)))</f>
        <v>vx</v>
      </c>
      <c r="H87" s="124">
        <f>preteurs_annees!A87</f>
        <v>2007</v>
      </c>
      <c r="I87" s="119"/>
      <c r="J87" s="119"/>
      <c r="K87" s="119"/>
      <c r="L87" s="119"/>
      <c r="M87" s="119"/>
      <c r="N87" s="120"/>
      <c r="O87" s="127">
        <f>preteurs_annees!E87-preteurs_annees!O87</f>
        <v>585267.07999999996</v>
      </c>
      <c r="P87" s="127"/>
      <c r="Q87" s="127">
        <f>preteurs_annees!G87-preteurs_annees!Q87</f>
        <v>74615.47</v>
      </c>
      <c r="R87" s="127">
        <f>preteurs_annees!H87-preteurs_annees!R87</f>
        <v>456724.66</v>
      </c>
      <c r="S87" s="127">
        <f>preteurs_annees!I87-preteurs_annees!S87</f>
        <v>0</v>
      </c>
      <c r="T87" s="128">
        <f t="shared" si="6"/>
        <v>0</v>
      </c>
      <c r="U87" s="127">
        <f t="shared" si="4"/>
        <v>531340.13</v>
      </c>
      <c r="V87" s="119"/>
      <c r="W87" s="121"/>
      <c r="X87" s="119"/>
      <c r="Y87" s="122"/>
      <c r="Z87" s="123"/>
      <c r="AA87" s="123"/>
      <c r="AB87" s="123"/>
      <c r="AC87" s="127">
        <f t="shared" si="5"/>
        <v>813629.40999999992</v>
      </c>
    </row>
    <row r="88" spans="1:29" s="96" customFormat="1">
      <c r="A88" s="125" t="str">
        <f t="shared" si="3"/>
        <v>vx_Natixis</v>
      </c>
      <c r="B88" s="124" t="str">
        <f>preteurs_annees!C88</f>
        <v>Natixis</v>
      </c>
      <c r="C88" s="117"/>
      <c r="D88" s="117"/>
      <c r="E88" s="118"/>
      <c r="F88" s="117"/>
      <c r="G88" s="126" t="str">
        <f>IF(LEFT(A88,3)="vx_","vx",INDEX(Categorie,MATCH($A88,emprunts!$A$2:$A$149,0)))</f>
        <v>vx</v>
      </c>
      <c r="H88" s="124">
        <f>preteurs_annees!A88</f>
        <v>2007</v>
      </c>
      <c r="I88" s="119"/>
      <c r="J88" s="119"/>
      <c r="K88" s="119"/>
      <c r="L88" s="119"/>
      <c r="M88" s="119"/>
      <c r="N88" s="120"/>
      <c r="O88" s="127">
        <f>preteurs_annees!E88-preteurs_annees!O88</f>
        <v>0</v>
      </c>
      <c r="P88" s="127"/>
      <c r="Q88" s="127">
        <f>preteurs_annees!G88-preteurs_annees!Q88</f>
        <v>0</v>
      </c>
      <c r="R88" s="127">
        <f>preteurs_annees!H88-preteurs_annees!R88</f>
        <v>0</v>
      </c>
      <c r="S88" s="127">
        <f>preteurs_annees!I88-preteurs_annees!S88</f>
        <v>0</v>
      </c>
      <c r="T88" s="128">
        <f t="shared" si="6"/>
        <v>0</v>
      </c>
      <c r="U88" s="127">
        <f t="shared" si="4"/>
        <v>0</v>
      </c>
      <c r="V88" s="119"/>
      <c r="W88" s="121"/>
      <c r="X88" s="119"/>
      <c r="Y88" s="122"/>
      <c r="Z88" s="123"/>
      <c r="AA88" s="123"/>
      <c r="AB88" s="123"/>
      <c r="AC88" s="127">
        <f t="shared" si="5"/>
        <v>0</v>
      </c>
    </row>
    <row r="89" spans="1:29" s="96" customFormat="1">
      <c r="A89" s="125" t="str">
        <f t="shared" si="3"/>
        <v>vx_Deutsche Hypothekenbank</v>
      </c>
      <c r="B89" s="124" t="str">
        <f>preteurs_annees!C89</f>
        <v>Deutsche Hypothekenbank</v>
      </c>
      <c r="C89" s="117"/>
      <c r="D89" s="117"/>
      <c r="E89" s="118"/>
      <c r="F89" s="117"/>
      <c r="G89" s="126" t="str">
        <f>IF(LEFT(A89,3)="vx_","vx",INDEX(Categorie,MATCH($A89,emprunts!$A$2:$A$149,0)))</f>
        <v>vx</v>
      </c>
      <c r="H89" s="124">
        <f>preteurs_annees!A89</f>
        <v>2007</v>
      </c>
      <c r="I89" s="119"/>
      <c r="J89" s="119"/>
      <c r="K89" s="119"/>
      <c r="L89" s="119"/>
      <c r="M89" s="119"/>
      <c r="N89" s="120"/>
      <c r="O89" s="127">
        <f>preteurs_annees!E89-preteurs_annees!O89</f>
        <v>0</v>
      </c>
      <c r="P89" s="127"/>
      <c r="Q89" s="127">
        <f>preteurs_annees!G89-preteurs_annees!Q89</f>
        <v>0</v>
      </c>
      <c r="R89" s="127">
        <f>preteurs_annees!H89-preteurs_annees!R89</f>
        <v>0</v>
      </c>
      <c r="S89" s="127">
        <f>preteurs_annees!I89-preteurs_annees!S89</f>
        <v>0</v>
      </c>
      <c r="T89" s="128">
        <f t="shared" si="6"/>
        <v>0</v>
      </c>
      <c r="U89" s="127">
        <f t="shared" si="4"/>
        <v>0</v>
      </c>
      <c r="V89" s="119"/>
      <c r="W89" s="121"/>
      <c r="X89" s="119"/>
      <c r="Y89" s="122"/>
      <c r="Z89" s="123"/>
      <c r="AA89" s="123"/>
      <c r="AB89" s="123"/>
      <c r="AC89" s="127">
        <f t="shared" si="5"/>
        <v>0</v>
      </c>
    </row>
    <row r="90" spans="1:29" s="96" customFormat="1">
      <c r="A90" s="125" t="str">
        <f t="shared" si="3"/>
        <v>vx_Crédit Agricole</v>
      </c>
      <c r="B90" s="124" t="str">
        <f>preteurs_annees!C90</f>
        <v>Crédit Agricole</v>
      </c>
      <c r="C90" s="117"/>
      <c r="D90" s="117"/>
      <c r="E90" s="118"/>
      <c r="F90" s="117"/>
      <c r="G90" s="126" t="str">
        <f>IF(LEFT(A90,3)="vx_","vx",INDEX(Categorie,MATCH($A90,emprunts!$A$2:$A$149,0)))</f>
        <v>vx</v>
      </c>
      <c r="H90" s="124">
        <f>preteurs_annees!A90</f>
        <v>2007</v>
      </c>
      <c r="I90" s="119"/>
      <c r="J90" s="119"/>
      <c r="K90" s="119"/>
      <c r="L90" s="119"/>
      <c r="M90" s="119"/>
      <c r="N90" s="120"/>
      <c r="O90" s="127">
        <f>preteurs_annees!E90-preteurs_annees!O90</f>
        <v>-0.46000000089406967</v>
      </c>
      <c r="P90" s="127"/>
      <c r="Q90" s="127">
        <f>preteurs_annees!G90-preteurs_annees!Q90</f>
        <v>0</v>
      </c>
      <c r="R90" s="127">
        <f>preteurs_annees!H90-preteurs_annees!R90</f>
        <v>0</v>
      </c>
      <c r="S90" s="127">
        <f>preteurs_annees!I90-preteurs_annees!S90</f>
        <v>0</v>
      </c>
      <c r="T90" s="128">
        <f t="shared" si="6"/>
        <v>0</v>
      </c>
      <c r="U90" s="127">
        <f t="shared" si="4"/>
        <v>0</v>
      </c>
      <c r="V90" s="119"/>
      <c r="W90" s="121"/>
      <c r="X90" s="119"/>
      <c r="Y90" s="122"/>
      <c r="Z90" s="123"/>
      <c r="AA90" s="123"/>
      <c r="AB90" s="123"/>
      <c r="AC90" s="127">
        <f t="shared" si="5"/>
        <v>0</v>
      </c>
    </row>
    <row r="91" spans="1:29" s="96" customFormat="1">
      <c r="A91" s="125" t="str">
        <f t="shared" si="3"/>
        <v>vx_Rheinboden Hypothekenbank</v>
      </c>
      <c r="B91" s="124" t="str">
        <f>preteurs_annees!C91</f>
        <v>Rheinboden Hypothekenbank</v>
      </c>
      <c r="C91" s="117"/>
      <c r="D91" s="117"/>
      <c r="E91" s="118"/>
      <c r="F91" s="117"/>
      <c r="G91" s="126" t="str">
        <f>IF(LEFT(A91,3)="vx_","vx",INDEX(Categorie,MATCH($A91,emprunts!$A$2:$A$149,0)))</f>
        <v>vx</v>
      </c>
      <c r="H91" s="124">
        <f>preteurs_annees!A91</f>
        <v>2007</v>
      </c>
      <c r="I91" s="119"/>
      <c r="J91" s="119"/>
      <c r="K91" s="119"/>
      <c r="L91" s="119"/>
      <c r="M91" s="119"/>
      <c r="N91" s="120"/>
      <c r="O91" s="127">
        <f>preteurs_annees!E91-preteurs_annees!O91</f>
        <v>396367.45</v>
      </c>
      <c r="P91" s="127"/>
      <c r="Q91" s="127">
        <f>preteurs_annees!G91-preteurs_annees!Q91</f>
        <v>17482.09</v>
      </c>
      <c r="R91" s="127">
        <f>preteurs_annees!H91-preteurs_annees!R91</f>
        <v>133392.89000000001</v>
      </c>
      <c r="S91" s="127">
        <f>preteurs_annees!I91-preteurs_annees!S91</f>
        <v>0</v>
      </c>
      <c r="T91" s="128">
        <f t="shared" si="6"/>
        <v>0</v>
      </c>
      <c r="U91" s="127">
        <f t="shared" si="4"/>
        <v>150874.98000000001</v>
      </c>
      <c r="V91" s="119"/>
      <c r="W91" s="121"/>
      <c r="X91" s="119"/>
      <c r="Y91" s="122"/>
      <c r="Z91" s="123"/>
      <c r="AA91" s="123"/>
      <c r="AB91" s="123"/>
      <c r="AC91" s="127">
        <f t="shared" si="5"/>
        <v>463063.89500000002</v>
      </c>
    </row>
    <row r="92" spans="1:29" s="96" customFormat="1">
      <c r="A92" s="125" t="str">
        <f t="shared" si="3"/>
        <v>vx_CDC</v>
      </c>
      <c r="B92" s="124" t="str">
        <f>preteurs_annees!C92</f>
        <v>CDC</v>
      </c>
      <c r="C92" s="117"/>
      <c r="D92" s="117"/>
      <c r="E92" s="118"/>
      <c r="F92" s="117"/>
      <c r="G92" s="126" t="str">
        <f>IF(LEFT(A92,3)="vx_","vx",INDEX(Categorie,MATCH($A92,emprunts!$A$2:$A$149,0)))</f>
        <v>vx</v>
      </c>
      <c r="H92" s="124">
        <f>preteurs_annees!A92</f>
        <v>2008</v>
      </c>
      <c r="I92" s="119"/>
      <c r="J92" s="119"/>
      <c r="K92" s="119"/>
      <c r="L92" s="119"/>
      <c r="M92" s="119"/>
      <c r="N92" s="120"/>
      <c r="O92" s="127">
        <f>preteurs_annees!E92-preteurs_annees!O92</f>
        <v>25027.959999999963</v>
      </c>
      <c r="P92" s="127"/>
      <c r="Q92" s="127">
        <f>preteurs_annees!G92-preteurs_annees!Q92</f>
        <v>2080.6800000000221</v>
      </c>
      <c r="R92" s="127">
        <f>preteurs_annees!H92-preteurs_annees!R92</f>
        <v>23928.949999999953</v>
      </c>
      <c r="S92" s="127">
        <f>preteurs_annees!I92-preteurs_annees!S92</f>
        <v>0</v>
      </c>
      <c r="T92" s="128">
        <f t="shared" si="6"/>
        <v>278.12120327194708</v>
      </c>
      <c r="U92" s="127">
        <f t="shared" si="4"/>
        <v>26009.629999999976</v>
      </c>
      <c r="V92" s="119"/>
      <c r="W92" s="121"/>
      <c r="X92" s="119"/>
      <c r="Y92" s="122"/>
      <c r="Z92" s="123"/>
      <c r="AA92" s="123"/>
      <c r="AB92" s="123"/>
      <c r="AC92" s="127">
        <f t="shared" si="5"/>
        <v>36992.434999999939</v>
      </c>
    </row>
    <row r="93" spans="1:29" s="96" customFormat="1">
      <c r="A93" s="125" t="str">
        <f t="shared" si="3"/>
        <v>vx_Dexia CL</v>
      </c>
      <c r="B93" s="124" t="str">
        <f>preteurs_annees!C93</f>
        <v>Dexia CL</v>
      </c>
      <c r="C93" s="117"/>
      <c r="D93" s="117"/>
      <c r="E93" s="118"/>
      <c r="F93" s="117"/>
      <c r="G93" s="126" t="str">
        <f>IF(LEFT(A93,3)="vx_","vx",INDEX(Categorie,MATCH($A93,emprunts!$A$2:$A$149,0)))</f>
        <v>vx</v>
      </c>
      <c r="H93" s="124">
        <f>preteurs_annees!A93</f>
        <v>2008</v>
      </c>
      <c r="I93" s="119"/>
      <c r="J93" s="119"/>
      <c r="K93" s="119"/>
      <c r="L93" s="119"/>
      <c r="M93" s="119"/>
      <c r="N93" s="120"/>
      <c r="O93" s="127">
        <f>preteurs_annees!E93-preteurs_annees!O93</f>
        <v>0.59999999403953552</v>
      </c>
      <c r="P93" s="127"/>
      <c r="Q93" s="127">
        <f>preteurs_annees!G93-preteurs_annees!Q93</f>
        <v>0</v>
      </c>
      <c r="R93" s="127">
        <f>preteurs_annees!H93-preteurs_annees!R93</f>
        <v>0</v>
      </c>
      <c r="S93" s="127">
        <f>preteurs_annees!I93-preteurs_annees!S93</f>
        <v>0</v>
      </c>
      <c r="T93" s="128">
        <f t="shared" si="6"/>
        <v>0</v>
      </c>
      <c r="U93" s="127">
        <f t="shared" si="4"/>
        <v>0</v>
      </c>
      <c r="V93" s="119"/>
      <c r="W93" s="121"/>
      <c r="X93" s="119"/>
      <c r="Y93" s="122"/>
      <c r="Z93" s="123"/>
      <c r="AA93" s="123"/>
      <c r="AB93" s="123"/>
      <c r="AC93" s="127">
        <f t="shared" si="5"/>
        <v>0.59999999403953552</v>
      </c>
    </row>
    <row r="94" spans="1:29" s="96" customFormat="1">
      <c r="A94" s="125" t="str">
        <f t="shared" si="3"/>
        <v>vx_Caisse d'Épargne</v>
      </c>
      <c r="B94" s="124" t="str">
        <f>preteurs_annees!C94</f>
        <v>Caisse d'Épargne</v>
      </c>
      <c r="C94" s="117"/>
      <c r="D94" s="117"/>
      <c r="E94" s="118"/>
      <c r="F94" s="117"/>
      <c r="G94" s="126" t="str">
        <f>IF(LEFT(A94,3)="vx_","vx",INDEX(Categorie,MATCH($A94,emprunts!$A$2:$A$149,0)))</f>
        <v>vx</v>
      </c>
      <c r="H94" s="124">
        <f>preteurs_annees!A94</f>
        <v>2008</v>
      </c>
      <c r="I94" s="119"/>
      <c r="J94" s="119"/>
      <c r="K94" s="119"/>
      <c r="L94" s="119"/>
      <c r="M94" s="119"/>
      <c r="N94" s="120"/>
      <c r="O94" s="127">
        <f>preteurs_annees!E94-preteurs_annees!O94</f>
        <v>-0.80000000074505806</v>
      </c>
      <c r="P94" s="127"/>
      <c r="Q94" s="127">
        <f>preteurs_annees!G94-preteurs_annees!Q94</f>
        <v>0</v>
      </c>
      <c r="R94" s="127">
        <f>preteurs_annees!H94-preteurs_annees!R94</f>
        <v>0</v>
      </c>
      <c r="S94" s="127">
        <f>preteurs_annees!I94-preteurs_annees!S94</f>
        <v>0</v>
      </c>
      <c r="T94" s="128">
        <f t="shared" si="6"/>
        <v>0</v>
      </c>
      <c r="U94" s="127">
        <f t="shared" si="4"/>
        <v>0</v>
      </c>
      <c r="V94" s="119"/>
      <c r="W94" s="121"/>
      <c r="X94" s="119"/>
      <c r="Y94" s="122"/>
      <c r="Z94" s="123"/>
      <c r="AA94" s="123"/>
      <c r="AB94" s="123"/>
      <c r="AC94" s="127">
        <f t="shared" si="5"/>
        <v>0</v>
      </c>
    </row>
    <row r="95" spans="1:29" s="96" customFormat="1">
      <c r="A95" s="125" t="str">
        <f t="shared" si="3"/>
        <v>vx_Crédit Mutuel</v>
      </c>
      <c r="B95" s="124" t="str">
        <f>preteurs_annees!C95</f>
        <v>Crédit Mutuel</v>
      </c>
      <c r="C95" s="117"/>
      <c r="D95" s="117"/>
      <c r="E95" s="118"/>
      <c r="F95" s="117"/>
      <c r="G95" s="126" t="str">
        <f>IF(LEFT(A95,3)="vx_","vx",INDEX(Categorie,MATCH($A95,emprunts!$A$2:$A$149,0)))</f>
        <v>vx</v>
      </c>
      <c r="H95" s="124">
        <f>preteurs_annees!A95</f>
        <v>2008</v>
      </c>
      <c r="I95" s="119"/>
      <c r="J95" s="119"/>
      <c r="K95" s="119"/>
      <c r="L95" s="119"/>
      <c r="M95" s="119"/>
      <c r="N95" s="120"/>
      <c r="O95" s="127">
        <f>preteurs_annees!E95-preteurs_annees!O95</f>
        <v>0.37000000011175871</v>
      </c>
      <c r="P95" s="127"/>
      <c r="Q95" s="127">
        <f>preteurs_annees!G95-preteurs_annees!Q95</f>
        <v>0</v>
      </c>
      <c r="R95" s="127">
        <f>preteurs_annees!H95-preteurs_annees!R95</f>
        <v>0</v>
      </c>
      <c r="S95" s="127">
        <f>preteurs_annees!I95-preteurs_annees!S95</f>
        <v>0</v>
      </c>
      <c r="T95" s="128">
        <f t="shared" si="6"/>
        <v>0</v>
      </c>
      <c r="U95" s="127">
        <f t="shared" si="4"/>
        <v>0</v>
      </c>
      <c r="V95" s="119"/>
      <c r="W95" s="121"/>
      <c r="X95" s="119"/>
      <c r="Y95" s="122"/>
      <c r="Z95" s="123"/>
      <c r="AA95" s="123"/>
      <c r="AB95" s="123"/>
      <c r="AC95" s="127">
        <f t="shared" si="5"/>
        <v>0.37000000011175871</v>
      </c>
    </row>
    <row r="96" spans="1:29" s="96" customFormat="1">
      <c r="A96" s="125" t="str">
        <f t="shared" si="3"/>
        <v>vx_Société générale</v>
      </c>
      <c r="B96" s="124" t="str">
        <f>preteurs_annees!C96</f>
        <v>Société générale</v>
      </c>
      <c r="C96" s="117"/>
      <c r="D96" s="117"/>
      <c r="E96" s="118"/>
      <c r="F96" s="117"/>
      <c r="G96" s="126" t="str">
        <f>IF(LEFT(A96,3)="vx_","vx",INDEX(Categorie,MATCH($A96,emprunts!$A$2:$A$149,0)))</f>
        <v>vx</v>
      </c>
      <c r="H96" s="124">
        <f>preteurs_annees!A96</f>
        <v>2008</v>
      </c>
      <c r="I96" s="119"/>
      <c r="J96" s="119"/>
      <c r="K96" s="119"/>
      <c r="L96" s="119"/>
      <c r="M96" s="119"/>
      <c r="N96" s="120"/>
      <c r="O96" s="127">
        <f>preteurs_annees!E96-preteurs_annees!O96</f>
        <v>-0.56000000052154064</v>
      </c>
      <c r="P96" s="127"/>
      <c r="Q96" s="127">
        <f>preteurs_annees!G96-preteurs_annees!Q96</f>
        <v>0</v>
      </c>
      <c r="R96" s="127">
        <f>preteurs_annees!H96-preteurs_annees!R96</f>
        <v>0</v>
      </c>
      <c r="S96" s="127">
        <f>preteurs_annees!I96-preteurs_annees!S96</f>
        <v>0</v>
      </c>
      <c r="T96" s="128">
        <f t="shared" si="6"/>
        <v>0</v>
      </c>
      <c r="U96" s="127">
        <f t="shared" si="4"/>
        <v>0</v>
      </c>
      <c r="V96" s="119"/>
      <c r="W96" s="121"/>
      <c r="X96" s="119"/>
      <c r="Y96" s="122"/>
      <c r="Z96" s="123"/>
      <c r="AA96" s="123"/>
      <c r="AB96" s="123"/>
      <c r="AC96" s="127">
        <f t="shared" si="5"/>
        <v>0</v>
      </c>
    </row>
    <row r="97" spans="1:29" s="96" customFormat="1">
      <c r="A97" s="125" t="str">
        <f t="shared" si="3"/>
        <v>vx_Crédit Foncier</v>
      </c>
      <c r="B97" s="124" t="str">
        <f>preteurs_annees!C97</f>
        <v>Crédit Foncier</v>
      </c>
      <c r="C97" s="117"/>
      <c r="D97" s="117"/>
      <c r="E97" s="118"/>
      <c r="F97" s="117"/>
      <c r="G97" s="126" t="str">
        <f>IF(LEFT(A97,3)="vx_","vx",INDEX(Categorie,MATCH($A97,emprunts!$A$2:$A$149,0)))</f>
        <v>vx</v>
      </c>
      <c r="H97" s="124">
        <f>preteurs_annees!A97</f>
        <v>2008</v>
      </c>
      <c r="I97" s="119"/>
      <c r="J97" s="119"/>
      <c r="K97" s="119"/>
      <c r="L97" s="119"/>
      <c r="M97" s="119"/>
      <c r="N97" s="120"/>
      <c r="O97" s="127">
        <f>preteurs_annees!E97-preteurs_annees!O97</f>
        <v>0</v>
      </c>
      <c r="P97" s="127"/>
      <c r="Q97" s="127">
        <f>preteurs_annees!G97-preteurs_annees!Q97</f>
        <v>0</v>
      </c>
      <c r="R97" s="127">
        <f>preteurs_annees!H97-preteurs_annees!R97</f>
        <v>0</v>
      </c>
      <c r="S97" s="127">
        <f>preteurs_annees!I97-preteurs_annees!S97</f>
        <v>0</v>
      </c>
      <c r="T97" s="128">
        <f t="shared" si="6"/>
        <v>0</v>
      </c>
      <c r="U97" s="127">
        <f t="shared" si="4"/>
        <v>0</v>
      </c>
      <c r="V97" s="119"/>
      <c r="W97" s="121"/>
      <c r="X97" s="119"/>
      <c r="Y97" s="122"/>
      <c r="Z97" s="123"/>
      <c r="AA97" s="123"/>
      <c r="AB97" s="123"/>
      <c r="AC97" s="127">
        <f t="shared" si="5"/>
        <v>0</v>
      </c>
    </row>
    <row r="98" spans="1:29" s="96" customFormat="1">
      <c r="A98" s="125" t="str">
        <f t="shared" si="3"/>
        <v>vx_Auxifip CEPME</v>
      </c>
      <c r="B98" s="124" t="str">
        <f>preteurs_annees!C98</f>
        <v>Auxifip CEPME</v>
      </c>
      <c r="C98" s="117"/>
      <c r="D98" s="117"/>
      <c r="E98" s="118"/>
      <c r="F98" s="117"/>
      <c r="G98" s="126" t="str">
        <f>IF(LEFT(A98,3)="vx_","vx",INDEX(Categorie,MATCH($A98,emprunts!$A$2:$A$149,0)))</f>
        <v>vx</v>
      </c>
      <c r="H98" s="124">
        <f>preteurs_annees!A98</f>
        <v>2008</v>
      </c>
      <c r="I98" s="119"/>
      <c r="J98" s="119"/>
      <c r="K98" s="119"/>
      <c r="L98" s="119"/>
      <c r="M98" s="119"/>
      <c r="N98" s="120"/>
      <c r="O98" s="127">
        <f>preteurs_annees!E98-preteurs_annees!O98</f>
        <v>93616.59</v>
      </c>
      <c r="P98" s="127"/>
      <c r="Q98" s="127">
        <f>preteurs_annees!G98-preteurs_annees!Q98</f>
        <v>39689.620000000003</v>
      </c>
      <c r="R98" s="127">
        <f>preteurs_annees!H98-preteurs_annees!R98</f>
        <v>491650.49</v>
      </c>
      <c r="S98" s="127">
        <f>preteurs_annees!I98-preteurs_annees!S98</f>
        <v>0</v>
      </c>
      <c r="T98" s="128">
        <f t="shared" si="6"/>
        <v>0</v>
      </c>
      <c r="U98" s="127">
        <f t="shared" si="4"/>
        <v>531340.11</v>
      </c>
      <c r="V98" s="119"/>
      <c r="W98" s="121"/>
      <c r="X98" s="119"/>
      <c r="Y98" s="122"/>
      <c r="Z98" s="123"/>
      <c r="AA98" s="123"/>
      <c r="AB98" s="123"/>
      <c r="AC98" s="127">
        <f t="shared" si="5"/>
        <v>339441.83499999996</v>
      </c>
    </row>
    <row r="99" spans="1:29" s="96" customFormat="1">
      <c r="A99" s="125" t="str">
        <f t="shared" si="3"/>
        <v>vx_Natixis</v>
      </c>
      <c r="B99" s="124" t="str">
        <f>preteurs_annees!C99</f>
        <v>Natixis</v>
      </c>
      <c r="C99" s="117"/>
      <c r="D99" s="117"/>
      <c r="E99" s="118"/>
      <c r="F99" s="117"/>
      <c r="G99" s="126" t="str">
        <f>IF(LEFT(A99,3)="vx_","vx",INDEX(Categorie,MATCH($A99,emprunts!$A$2:$A$149,0)))</f>
        <v>vx</v>
      </c>
      <c r="H99" s="124">
        <f>preteurs_annees!A99</f>
        <v>2008</v>
      </c>
      <c r="I99" s="119"/>
      <c r="J99" s="119"/>
      <c r="K99" s="119"/>
      <c r="L99" s="119"/>
      <c r="M99" s="119"/>
      <c r="N99" s="120"/>
      <c r="O99" s="127">
        <f>preteurs_annees!E99-preteurs_annees!O99</f>
        <v>0</v>
      </c>
      <c r="P99" s="127"/>
      <c r="Q99" s="127">
        <f>preteurs_annees!G99-preteurs_annees!Q99</f>
        <v>0</v>
      </c>
      <c r="R99" s="127">
        <f>preteurs_annees!H99-preteurs_annees!R99</f>
        <v>0</v>
      </c>
      <c r="S99" s="127">
        <f>preteurs_annees!I99-preteurs_annees!S99</f>
        <v>0</v>
      </c>
      <c r="T99" s="128">
        <f t="shared" si="6"/>
        <v>0</v>
      </c>
      <c r="U99" s="127">
        <f t="shared" si="4"/>
        <v>0</v>
      </c>
      <c r="V99" s="119"/>
      <c r="W99" s="121"/>
      <c r="X99" s="119"/>
      <c r="Y99" s="122"/>
      <c r="Z99" s="123"/>
      <c r="AA99" s="123"/>
      <c r="AB99" s="123"/>
      <c r="AC99" s="127">
        <f t="shared" si="5"/>
        <v>0</v>
      </c>
    </row>
    <row r="100" spans="1:29" s="96" customFormat="1">
      <c r="A100" s="125" t="str">
        <f t="shared" si="3"/>
        <v>vx_Deutsche Hypothekenbank</v>
      </c>
      <c r="B100" s="124" t="str">
        <f>preteurs_annees!C100</f>
        <v>Deutsche Hypothekenbank</v>
      </c>
      <c r="C100" s="117"/>
      <c r="D100" s="117"/>
      <c r="E100" s="118"/>
      <c r="F100" s="117"/>
      <c r="G100" s="126" t="str">
        <f>IF(LEFT(A100,3)="vx_","vx",INDEX(Categorie,MATCH($A100,emprunts!$A$2:$A$149,0)))</f>
        <v>vx</v>
      </c>
      <c r="H100" s="124">
        <f>preteurs_annees!A100</f>
        <v>2008</v>
      </c>
      <c r="I100" s="119"/>
      <c r="J100" s="119"/>
      <c r="K100" s="119"/>
      <c r="L100" s="119"/>
      <c r="M100" s="119"/>
      <c r="N100" s="120"/>
      <c r="O100" s="127">
        <f>preteurs_annees!E100-preteurs_annees!O100</f>
        <v>0</v>
      </c>
      <c r="P100" s="127"/>
      <c r="Q100" s="127">
        <f>preteurs_annees!G100-preteurs_annees!Q100</f>
        <v>0</v>
      </c>
      <c r="R100" s="127">
        <f>preteurs_annees!H100-preteurs_annees!R100</f>
        <v>0</v>
      </c>
      <c r="S100" s="127">
        <f>preteurs_annees!I100-preteurs_annees!S100</f>
        <v>0</v>
      </c>
      <c r="T100" s="128">
        <f t="shared" si="6"/>
        <v>0</v>
      </c>
      <c r="U100" s="127">
        <f t="shared" si="4"/>
        <v>0</v>
      </c>
      <c r="V100" s="119"/>
      <c r="W100" s="121"/>
      <c r="X100" s="119"/>
      <c r="Y100" s="122"/>
      <c r="Z100" s="123"/>
      <c r="AA100" s="123"/>
      <c r="AB100" s="123"/>
      <c r="AC100" s="127">
        <f t="shared" si="5"/>
        <v>0</v>
      </c>
    </row>
    <row r="101" spans="1:29" s="96" customFormat="1">
      <c r="A101" s="125" t="str">
        <f t="shared" si="3"/>
        <v>vx_Crédit Agricole</v>
      </c>
      <c r="B101" s="124" t="str">
        <f>preteurs_annees!C101</f>
        <v>Crédit Agricole</v>
      </c>
      <c r="C101" s="117"/>
      <c r="D101" s="117"/>
      <c r="E101" s="118"/>
      <c r="F101" s="117"/>
      <c r="G101" s="126" t="str">
        <f>IF(LEFT(A101,3)="vx_","vx",INDEX(Categorie,MATCH($A101,emprunts!$A$2:$A$149,0)))</f>
        <v>vx</v>
      </c>
      <c r="H101" s="124">
        <f>preteurs_annees!A101</f>
        <v>2008</v>
      </c>
      <c r="I101" s="119"/>
      <c r="J101" s="119"/>
      <c r="K101" s="119"/>
      <c r="L101" s="119"/>
      <c r="M101" s="119"/>
      <c r="N101" s="120"/>
      <c r="O101" s="127">
        <f>preteurs_annees!E101-preteurs_annees!O101</f>
        <v>-0.23999999836087227</v>
      </c>
      <c r="P101" s="127"/>
      <c r="Q101" s="127">
        <f>preteurs_annees!G101-preteurs_annees!Q101</f>
        <v>0</v>
      </c>
      <c r="R101" s="127">
        <f>preteurs_annees!H101-preteurs_annees!R101</f>
        <v>0</v>
      </c>
      <c r="S101" s="127">
        <f>preteurs_annees!I101-preteurs_annees!S101</f>
        <v>0</v>
      </c>
      <c r="T101" s="128">
        <f t="shared" si="6"/>
        <v>0</v>
      </c>
      <c r="U101" s="127">
        <f t="shared" si="4"/>
        <v>0</v>
      </c>
      <c r="V101" s="119"/>
      <c r="W101" s="121"/>
      <c r="X101" s="119"/>
      <c r="Y101" s="122"/>
      <c r="Z101" s="123"/>
      <c r="AA101" s="123"/>
      <c r="AB101" s="123"/>
      <c r="AC101" s="127">
        <f t="shared" si="5"/>
        <v>0</v>
      </c>
    </row>
    <row r="102" spans="1:29" s="96" customFormat="1">
      <c r="A102" s="125" t="str">
        <f t="shared" si="3"/>
        <v>vx_Rheinboden Hypothekenbank</v>
      </c>
      <c r="B102" s="124" t="str">
        <f>preteurs_annees!C102</f>
        <v>Rheinboden Hypothekenbank</v>
      </c>
      <c r="C102" s="117"/>
      <c r="D102" s="117"/>
      <c r="E102" s="118"/>
      <c r="F102" s="117"/>
      <c r="G102" s="126" t="str">
        <f>IF(LEFT(A102,3)="vx_","vx",INDEX(Categorie,MATCH($A102,emprunts!$A$2:$A$149,0)))</f>
        <v>vx</v>
      </c>
      <c r="H102" s="124">
        <f>preteurs_annees!A102</f>
        <v>2008</v>
      </c>
      <c r="I102" s="119"/>
      <c r="J102" s="119"/>
      <c r="K102" s="119"/>
      <c r="L102" s="119"/>
      <c r="M102" s="119"/>
      <c r="N102" s="120"/>
      <c r="O102" s="127">
        <f>preteurs_annees!E102-preteurs_annees!O102</f>
        <v>262974.56</v>
      </c>
      <c r="P102" s="127"/>
      <c r="Q102" s="127">
        <f>preteurs_annees!G102-preteurs_annees!Q102</f>
        <v>13080.13</v>
      </c>
      <c r="R102" s="127">
        <f>preteurs_annees!H102-preteurs_annees!R102</f>
        <v>133392.89000000001</v>
      </c>
      <c r="S102" s="127">
        <f>preteurs_annees!I102-preteurs_annees!S102</f>
        <v>0</v>
      </c>
      <c r="T102" s="128">
        <f t="shared" si="6"/>
        <v>0</v>
      </c>
      <c r="U102" s="127">
        <f t="shared" si="4"/>
        <v>146473.02000000002</v>
      </c>
      <c r="V102" s="119"/>
      <c r="W102" s="121"/>
      <c r="X102" s="119"/>
      <c r="Y102" s="122"/>
      <c r="Z102" s="123"/>
      <c r="AA102" s="123"/>
      <c r="AB102" s="123"/>
      <c r="AC102" s="127">
        <f t="shared" si="5"/>
        <v>329671.005</v>
      </c>
    </row>
    <row r="103" spans="1:29" s="96" customFormat="1">
      <c r="A103" s="125" t="str">
        <f t="shared" si="3"/>
        <v>vx_CDC</v>
      </c>
      <c r="B103" s="124" t="str">
        <f>preteurs_annees!C103</f>
        <v>CDC</v>
      </c>
      <c r="C103" s="117"/>
      <c r="D103" s="117"/>
      <c r="E103" s="118"/>
      <c r="F103" s="117"/>
      <c r="G103" s="126" t="str">
        <f>IF(LEFT(A103,3)="vx_","vx",INDEX(Categorie,MATCH($A103,emprunts!$A$2:$A$149,0)))</f>
        <v>vx</v>
      </c>
      <c r="H103" s="124">
        <f>preteurs_annees!A103</f>
        <v>2009</v>
      </c>
      <c r="I103" s="119"/>
      <c r="J103" s="119"/>
      <c r="K103" s="119"/>
      <c r="L103" s="119"/>
      <c r="M103" s="119"/>
      <c r="N103" s="120"/>
      <c r="O103" s="127">
        <f>preteurs_annees!E103-preteurs_annees!O103</f>
        <v>0.27999999979510903</v>
      </c>
      <c r="P103" s="127"/>
      <c r="Q103" s="127">
        <f>preteurs_annees!G103-preteurs_annees!Q103</f>
        <v>1251.4100000000035</v>
      </c>
      <c r="R103" s="127">
        <f>preteurs_annees!H103-preteurs_annees!R103</f>
        <v>25028.130000000005</v>
      </c>
      <c r="S103" s="127">
        <f>preteurs_annees!I103-preteurs_annees!S103</f>
        <v>0</v>
      </c>
      <c r="T103" s="128">
        <f t="shared" si="6"/>
        <v>167.27399455300409</v>
      </c>
      <c r="U103" s="127">
        <f t="shared" si="4"/>
        <v>26279.540000000008</v>
      </c>
      <c r="V103" s="119"/>
      <c r="W103" s="121"/>
      <c r="X103" s="119"/>
      <c r="Y103" s="122"/>
      <c r="Z103" s="123"/>
      <c r="AA103" s="123"/>
      <c r="AB103" s="123"/>
      <c r="AC103" s="127">
        <f t="shared" si="5"/>
        <v>12514.344999999797</v>
      </c>
    </row>
    <row r="104" spans="1:29" s="96" customFormat="1">
      <c r="A104" s="125" t="str">
        <f t="shared" si="3"/>
        <v>vx_Dexia CL</v>
      </c>
      <c r="B104" s="124" t="str">
        <f>preteurs_annees!C104</f>
        <v>Dexia CL</v>
      </c>
      <c r="C104" s="117"/>
      <c r="D104" s="117"/>
      <c r="E104" s="118"/>
      <c r="F104" s="117"/>
      <c r="G104" s="126" t="str">
        <f>IF(LEFT(A104,3)="vx_","vx",INDEX(Categorie,MATCH($A104,emprunts!$A$2:$A$149,0)))</f>
        <v>vx</v>
      </c>
      <c r="H104" s="124">
        <f>preteurs_annees!A104</f>
        <v>2009</v>
      </c>
      <c r="I104" s="119"/>
      <c r="J104" s="119"/>
      <c r="K104" s="119"/>
      <c r="L104" s="119"/>
      <c r="M104" s="119"/>
      <c r="N104" s="120"/>
      <c r="O104" s="127">
        <f>preteurs_annees!E104-preteurs_annees!O104</f>
        <v>-1.5900000035762787</v>
      </c>
      <c r="P104" s="127"/>
      <c r="Q104" s="127">
        <f>preteurs_annees!G104-preteurs_annees!Q104</f>
        <v>-3431.8299999991432</v>
      </c>
      <c r="R104" s="127">
        <f>preteurs_annees!H104-preteurs_annees!R104</f>
        <v>0</v>
      </c>
      <c r="S104" s="127">
        <f>preteurs_annees!I104-preteurs_annees!S104</f>
        <v>615427.37999999907</v>
      </c>
      <c r="T104" s="128">
        <f t="shared" si="6"/>
        <v>0</v>
      </c>
      <c r="U104" s="127">
        <f t="shared" si="4"/>
        <v>611995.54999999993</v>
      </c>
      <c r="V104" s="119"/>
      <c r="W104" s="121"/>
      <c r="X104" s="119"/>
      <c r="Y104" s="122"/>
      <c r="Z104" s="123"/>
      <c r="AA104" s="123"/>
      <c r="AB104" s="123"/>
      <c r="AC104" s="127">
        <f t="shared" si="5"/>
        <v>0</v>
      </c>
    </row>
    <row r="105" spans="1:29" s="96" customFormat="1">
      <c r="A105" s="125" t="str">
        <f t="shared" si="3"/>
        <v>vx_Caisse d'Épargne</v>
      </c>
      <c r="B105" s="124" t="str">
        <f>preteurs_annees!C105</f>
        <v>Caisse d'Épargne</v>
      </c>
      <c r="C105" s="117"/>
      <c r="D105" s="117"/>
      <c r="E105" s="118"/>
      <c r="F105" s="117"/>
      <c r="G105" s="126" t="str">
        <f>IF(LEFT(A105,3)="vx_","vx",INDEX(Categorie,MATCH($A105,emprunts!$A$2:$A$149,0)))</f>
        <v>vx</v>
      </c>
      <c r="H105" s="124">
        <f>preteurs_annees!A105</f>
        <v>2009</v>
      </c>
      <c r="I105" s="119"/>
      <c r="J105" s="119"/>
      <c r="K105" s="119"/>
      <c r="L105" s="119"/>
      <c r="M105" s="119"/>
      <c r="N105" s="120"/>
      <c r="O105" s="127">
        <f>preteurs_annees!E105-preteurs_annees!O105</f>
        <v>8.9999999850988388E-2</v>
      </c>
      <c r="P105" s="127"/>
      <c r="Q105" s="127">
        <f>preteurs_annees!G105-preteurs_annees!Q105</f>
        <v>0</v>
      </c>
      <c r="R105" s="127">
        <f>preteurs_annees!H105-preteurs_annees!R105</f>
        <v>0</v>
      </c>
      <c r="S105" s="127">
        <f>preteurs_annees!I105-preteurs_annees!S105</f>
        <v>0</v>
      </c>
      <c r="T105" s="128">
        <f t="shared" si="6"/>
        <v>0</v>
      </c>
      <c r="U105" s="127">
        <f t="shared" si="4"/>
        <v>0</v>
      </c>
      <c r="V105" s="119"/>
      <c r="W105" s="121"/>
      <c r="X105" s="119"/>
      <c r="Y105" s="122"/>
      <c r="Z105" s="123"/>
      <c r="AA105" s="123"/>
      <c r="AB105" s="123"/>
      <c r="AC105" s="127">
        <f t="shared" si="5"/>
        <v>8.9999999850988388E-2</v>
      </c>
    </row>
    <row r="106" spans="1:29" s="96" customFormat="1">
      <c r="A106" s="125" t="str">
        <f t="shared" si="3"/>
        <v>vx_Crédit Mutuel</v>
      </c>
      <c r="B106" s="124" t="str">
        <f>preteurs_annees!C106</f>
        <v>Crédit Mutuel</v>
      </c>
      <c r="C106" s="117"/>
      <c r="D106" s="117"/>
      <c r="E106" s="118"/>
      <c r="F106" s="117"/>
      <c r="G106" s="126" t="str">
        <f>IF(LEFT(A106,3)="vx_","vx",INDEX(Categorie,MATCH($A106,emprunts!$A$2:$A$149,0)))</f>
        <v>vx</v>
      </c>
      <c r="H106" s="124">
        <f>preteurs_annees!A106</f>
        <v>2009</v>
      </c>
      <c r="I106" s="119"/>
      <c r="J106" s="119"/>
      <c r="K106" s="119"/>
      <c r="L106" s="119"/>
      <c r="M106" s="119"/>
      <c r="N106" s="120"/>
      <c r="O106" s="127">
        <f>preteurs_annees!E106-preteurs_annees!O106</f>
        <v>-1.0400000000372529</v>
      </c>
      <c r="P106" s="127"/>
      <c r="Q106" s="127">
        <f>preteurs_annees!G106-preteurs_annees!Q106</f>
        <v>-5526.0499999999811</v>
      </c>
      <c r="R106" s="127">
        <f>preteurs_annees!H106-preteurs_annees!R106</f>
        <v>0</v>
      </c>
      <c r="S106" s="127">
        <f>preteurs_annees!I106-preteurs_annees!S106</f>
        <v>-6.5483618527650833E-11</v>
      </c>
      <c r="T106" s="128">
        <f t="shared" si="6"/>
        <v>0</v>
      </c>
      <c r="U106" s="127">
        <f t="shared" si="4"/>
        <v>-5526.0500000000466</v>
      </c>
      <c r="V106" s="119"/>
      <c r="W106" s="121"/>
      <c r="X106" s="119"/>
      <c r="Y106" s="122"/>
      <c r="Z106" s="123"/>
      <c r="AA106" s="123"/>
      <c r="AB106" s="123"/>
      <c r="AC106" s="127">
        <f t="shared" si="5"/>
        <v>0</v>
      </c>
    </row>
    <row r="107" spans="1:29" s="96" customFormat="1">
      <c r="A107" s="125" t="str">
        <f t="shared" si="3"/>
        <v>vx_Société générale</v>
      </c>
      <c r="B107" s="124" t="str">
        <f>preteurs_annees!C107</f>
        <v>Société générale</v>
      </c>
      <c r="C107" s="117"/>
      <c r="D107" s="117"/>
      <c r="E107" s="118"/>
      <c r="F107" s="117"/>
      <c r="G107" s="126" t="str">
        <f>IF(LEFT(A107,3)="vx_","vx",INDEX(Categorie,MATCH($A107,emprunts!$A$2:$A$149,0)))</f>
        <v>vx</v>
      </c>
      <c r="H107" s="124">
        <f>preteurs_annees!A107</f>
        <v>2009</v>
      </c>
      <c r="I107" s="119"/>
      <c r="J107" s="119"/>
      <c r="K107" s="119"/>
      <c r="L107" s="119"/>
      <c r="M107" s="119"/>
      <c r="N107" s="120"/>
      <c r="O107" s="127">
        <f>preteurs_annees!E107-preteurs_annees!O107</f>
        <v>0</v>
      </c>
      <c r="P107" s="127"/>
      <c r="Q107" s="127">
        <f>preteurs_annees!G107-preteurs_annees!Q107</f>
        <v>0</v>
      </c>
      <c r="R107" s="127">
        <f>preteurs_annees!H107-preteurs_annees!R107</f>
        <v>0</v>
      </c>
      <c r="S107" s="127">
        <f>preteurs_annees!I107-preteurs_annees!S107</f>
        <v>0</v>
      </c>
      <c r="T107" s="128">
        <f t="shared" si="6"/>
        <v>0</v>
      </c>
      <c r="U107" s="127">
        <f t="shared" si="4"/>
        <v>0</v>
      </c>
      <c r="V107" s="119"/>
      <c r="W107" s="121"/>
      <c r="X107" s="119"/>
      <c r="Y107" s="122"/>
      <c r="Z107" s="123"/>
      <c r="AA107" s="123"/>
      <c r="AB107" s="123"/>
      <c r="AC107" s="127">
        <f t="shared" si="5"/>
        <v>0</v>
      </c>
    </row>
    <row r="108" spans="1:29" s="96" customFormat="1">
      <c r="A108" s="125" t="str">
        <f t="shared" si="3"/>
        <v>vx_Crédit Foncier</v>
      </c>
      <c r="B108" s="124" t="str">
        <f>preteurs_annees!C108</f>
        <v>Crédit Foncier</v>
      </c>
      <c r="C108" s="117"/>
      <c r="D108" s="117"/>
      <c r="E108" s="118"/>
      <c r="F108" s="117"/>
      <c r="G108" s="126" t="str">
        <f>IF(LEFT(A108,3)="vx_","vx",INDEX(Categorie,MATCH($A108,emprunts!$A$2:$A$149,0)))</f>
        <v>vx</v>
      </c>
      <c r="H108" s="124">
        <f>preteurs_annees!A108</f>
        <v>2009</v>
      </c>
      <c r="I108" s="119"/>
      <c r="J108" s="119"/>
      <c r="K108" s="119"/>
      <c r="L108" s="119"/>
      <c r="M108" s="119"/>
      <c r="N108" s="120"/>
      <c r="O108" s="127">
        <f>preteurs_annees!E108-preteurs_annees!O108</f>
        <v>0</v>
      </c>
      <c r="P108" s="127"/>
      <c r="Q108" s="127">
        <f>preteurs_annees!G108-preteurs_annees!Q108</f>
        <v>0</v>
      </c>
      <c r="R108" s="127">
        <f>preteurs_annees!H108-preteurs_annees!R108</f>
        <v>0</v>
      </c>
      <c r="S108" s="127">
        <f>preteurs_annees!I108-preteurs_annees!S108</f>
        <v>0</v>
      </c>
      <c r="T108" s="128">
        <f t="shared" si="6"/>
        <v>0</v>
      </c>
      <c r="U108" s="127">
        <f t="shared" si="4"/>
        <v>0</v>
      </c>
      <c r="V108" s="119"/>
      <c r="W108" s="121"/>
      <c r="X108" s="119"/>
      <c r="Y108" s="122"/>
      <c r="Z108" s="123"/>
      <c r="AA108" s="123"/>
      <c r="AB108" s="123"/>
      <c r="AC108" s="127">
        <f t="shared" si="5"/>
        <v>0</v>
      </c>
    </row>
    <row r="109" spans="1:29" s="96" customFormat="1">
      <c r="A109" s="125" t="str">
        <f t="shared" si="3"/>
        <v>vx_Auxifip CEPME</v>
      </c>
      <c r="B109" s="124" t="str">
        <f>preteurs_annees!C109</f>
        <v>Auxifip CEPME</v>
      </c>
      <c r="C109" s="117"/>
      <c r="D109" s="117"/>
      <c r="E109" s="118"/>
      <c r="F109" s="117"/>
      <c r="G109" s="126" t="str">
        <f>IF(LEFT(A109,3)="vx_","vx",INDEX(Categorie,MATCH($A109,emprunts!$A$2:$A$149,0)))</f>
        <v>vx</v>
      </c>
      <c r="H109" s="124">
        <f>preteurs_annees!A109</f>
        <v>2009</v>
      </c>
      <c r="I109" s="119"/>
      <c r="J109" s="119"/>
      <c r="K109" s="119"/>
      <c r="L109" s="119"/>
      <c r="M109" s="119"/>
      <c r="N109" s="120"/>
      <c r="O109" s="127">
        <f>preteurs_annees!E109-preteurs_annees!O109</f>
        <v>0</v>
      </c>
      <c r="P109" s="127"/>
      <c r="Q109" s="127">
        <f>preteurs_annees!G109-preteurs_annees!Q109</f>
        <v>1898.33</v>
      </c>
      <c r="R109" s="127">
        <f>preteurs_annees!H109-preteurs_annees!R109</f>
        <v>93616.58</v>
      </c>
      <c r="S109" s="127">
        <f>preteurs_annees!I109-preteurs_annees!S109</f>
        <v>9.9999999947613105E-3</v>
      </c>
      <c r="T109" s="128">
        <f t="shared" si="6"/>
        <v>0</v>
      </c>
      <c r="U109" s="127">
        <f t="shared" si="4"/>
        <v>95514.92</v>
      </c>
      <c r="V109" s="119"/>
      <c r="W109" s="121"/>
      <c r="X109" s="119"/>
      <c r="Y109" s="122"/>
      <c r="Z109" s="123"/>
      <c r="AA109" s="123"/>
      <c r="AB109" s="123"/>
      <c r="AC109" s="127">
        <f t="shared" si="5"/>
        <v>46808.29</v>
      </c>
    </row>
    <row r="110" spans="1:29" s="96" customFormat="1">
      <c r="A110" s="125" t="str">
        <f t="shared" si="3"/>
        <v>vx_Natixis</v>
      </c>
      <c r="B110" s="124" t="str">
        <f>preteurs_annees!C110</f>
        <v>Natixis</v>
      </c>
      <c r="C110" s="117"/>
      <c r="D110" s="117"/>
      <c r="E110" s="118"/>
      <c r="F110" s="117"/>
      <c r="G110" s="126" t="str">
        <f>IF(LEFT(A110,3)="vx_","vx",INDEX(Categorie,MATCH($A110,emprunts!$A$2:$A$149,0)))</f>
        <v>vx</v>
      </c>
      <c r="H110" s="124">
        <f>preteurs_annees!A110</f>
        <v>2009</v>
      </c>
      <c r="I110" s="119"/>
      <c r="J110" s="119"/>
      <c r="K110" s="119"/>
      <c r="L110" s="119"/>
      <c r="M110" s="119"/>
      <c r="N110" s="120"/>
      <c r="O110" s="127">
        <f>preteurs_annees!E110-preteurs_annees!O110</f>
        <v>0</v>
      </c>
      <c r="P110" s="127"/>
      <c r="Q110" s="127">
        <f>preteurs_annees!G110-preteurs_annees!Q110</f>
        <v>0</v>
      </c>
      <c r="R110" s="127">
        <f>preteurs_annees!H110-preteurs_annees!R110</f>
        <v>0</v>
      </c>
      <c r="S110" s="127">
        <f>preteurs_annees!I110-preteurs_annees!S110</f>
        <v>0</v>
      </c>
      <c r="T110" s="128">
        <f t="shared" si="6"/>
        <v>0</v>
      </c>
      <c r="U110" s="127">
        <f t="shared" si="4"/>
        <v>0</v>
      </c>
      <c r="V110" s="119"/>
      <c r="W110" s="121"/>
      <c r="X110" s="119"/>
      <c r="Y110" s="122"/>
      <c r="Z110" s="123"/>
      <c r="AA110" s="123"/>
      <c r="AB110" s="123"/>
      <c r="AC110" s="127">
        <f t="shared" si="5"/>
        <v>0</v>
      </c>
    </row>
    <row r="111" spans="1:29" s="96" customFormat="1">
      <c r="A111" s="125" t="str">
        <f t="shared" si="3"/>
        <v>vx_Deutsche Hypothekenbank</v>
      </c>
      <c r="B111" s="124" t="str">
        <f>preteurs_annees!C111</f>
        <v>Deutsche Hypothekenbank</v>
      </c>
      <c r="C111" s="117"/>
      <c r="D111" s="117"/>
      <c r="E111" s="118"/>
      <c r="F111" s="117"/>
      <c r="G111" s="126" t="str">
        <f>IF(LEFT(A111,3)="vx_","vx",INDEX(Categorie,MATCH($A111,emprunts!$A$2:$A$149,0)))</f>
        <v>vx</v>
      </c>
      <c r="H111" s="124">
        <f>preteurs_annees!A111</f>
        <v>2009</v>
      </c>
      <c r="I111" s="119"/>
      <c r="J111" s="119"/>
      <c r="K111" s="119"/>
      <c r="L111" s="119"/>
      <c r="M111" s="119"/>
      <c r="N111" s="120"/>
      <c r="O111" s="127">
        <f>preteurs_annees!E111-preteurs_annees!O111</f>
        <v>0</v>
      </c>
      <c r="P111" s="127"/>
      <c r="Q111" s="127">
        <f>preteurs_annees!G111-preteurs_annees!Q111</f>
        <v>0</v>
      </c>
      <c r="R111" s="127">
        <f>preteurs_annees!H111-preteurs_annees!R111</f>
        <v>0</v>
      </c>
      <c r="S111" s="127">
        <f>preteurs_annees!I111-preteurs_annees!S111</f>
        <v>0</v>
      </c>
      <c r="T111" s="128">
        <f t="shared" si="6"/>
        <v>0</v>
      </c>
      <c r="U111" s="127">
        <f t="shared" si="4"/>
        <v>0</v>
      </c>
      <c r="V111" s="119"/>
      <c r="W111" s="121"/>
      <c r="X111" s="119"/>
      <c r="Y111" s="122"/>
      <c r="Z111" s="123"/>
      <c r="AA111" s="123"/>
      <c r="AB111" s="123"/>
      <c r="AC111" s="127">
        <f t="shared" si="5"/>
        <v>0</v>
      </c>
    </row>
    <row r="112" spans="1:29" s="96" customFormat="1">
      <c r="A112" s="125" t="str">
        <f t="shared" si="3"/>
        <v>vx_Crédit Agricole</v>
      </c>
      <c r="B112" s="124" t="str">
        <f>preteurs_annees!C112</f>
        <v>Crédit Agricole</v>
      </c>
      <c r="C112" s="117"/>
      <c r="D112" s="117"/>
      <c r="E112" s="118"/>
      <c r="F112" s="117"/>
      <c r="G112" s="126" t="str">
        <f>IF(LEFT(A112,3)="vx_","vx",INDEX(Categorie,MATCH($A112,emprunts!$A$2:$A$149,0)))</f>
        <v>vx</v>
      </c>
      <c r="H112" s="124">
        <f>preteurs_annees!A112</f>
        <v>2009</v>
      </c>
      <c r="I112" s="119"/>
      <c r="J112" s="119"/>
      <c r="K112" s="119"/>
      <c r="L112" s="119"/>
      <c r="M112" s="119"/>
      <c r="N112" s="120"/>
      <c r="O112" s="127">
        <f>preteurs_annees!E112-preteurs_annees!O112</f>
        <v>0.22000000067055225</v>
      </c>
      <c r="P112" s="127"/>
      <c r="Q112" s="127">
        <f>preteurs_annees!G112-preteurs_annees!Q112</f>
        <v>1590.4299999999348</v>
      </c>
      <c r="R112" s="127">
        <f>preteurs_annees!H112-preteurs_annees!R112</f>
        <v>0</v>
      </c>
      <c r="S112" s="127">
        <f>preteurs_annees!I112-preteurs_annees!S112</f>
        <v>5.8207660913467407E-11</v>
      </c>
      <c r="T112" s="128">
        <f t="shared" si="6"/>
        <v>0</v>
      </c>
      <c r="U112" s="127">
        <f t="shared" si="4"/>
        <v>1590.429999999993</v>
      </c>
      <c r="V112" s="119"/>
      <c r="W112" s="121"/>
      <c r="X112" s="119"/>
      <c r="Y112" s="122"/>
      <c r="Z112" s="123"/>
      <c r="AA112" s="123"/>
      <c r="AB112" s="123"/>
      <c r="AC112" s="127">
        <f t="shared" si="5"/>
        <v>0.22000000067055225</v>
      </c>
    </row>
    <row r="113" spans="1:29" s="96" customFormat="1">
      <c r="A113" s="125" t="str">
        <f t="shared" si="3"/>
        <v>vx_Rheinboden Hypothekenbank</v>
      </c>
      <c r="B113" s="124" t="str">
        <f>preteurs_annees!C113</f>
        <v>Rheinboden Hypothekenbank</v>
      </c>
      <c r="C113" s="117"/>
      <c r="D113" s="117"/>
      <c r="E113" s="118"/>
      <c r="F113" s="117"/>
      <c r="G113" s="126" t="str">
        <f>IF(LEFT(A113,3)="vx_","vx",INDEX(Categorie,MATCH($A113,emprunts!$A$2:$A$149,0)))</f>
        <v>vx</v>
      </c>
      <c r="H113" s="124">
        <f>preteurs_annees!A113</f>
        <v>2009</v>
      </c>
      <c r="I113" s="119"/>
      <c r="J113" s="119"/>
      <c r="K113" s="119"/>
      <c r="L113" s="119"/>
      <c r="M113" s="119"/>
      <c r="N113" s="120"/>
      <c r="O113" s="127">
        <f>preteurs_annees!E113-preteurs_annees!O113</f>
        <v>129581.67</v>
      </c>
      <c r="P113" s="127"/>
      <c r="Q113" s="127">
        <f>preteurs_annees!G113-preteurs_annees!Q113</f>
        <v>8678.16</v>
      </c>
      <c r="R113" s="127">
        <f>preteurs_annees!H113-preteurs_annees!R113</f>
        <v>133392.89000000001</v>
      </c>
      <c r="S113" s="127">
        <f>preteurs_annees!I113-preteurs_annees!S113</f>
        <v>0</v>
      </c>
      <c r="T113" s="128">
        <f t="shared" si="6"/>
        <v>0</v>
      </c>
      <c r="U113" s="127">
        <f t="shared" si="4"/>
        <v>142071.05000000002</v>
      </c>
      <c r="V113" s="119"/>
      <c r="W113" s="121"/>
      <c r="X113" s="119"/>
      <c r="Y113" s="122"/>
      <c r="Z113" s="123"/>
      <c r="AA113" s="123"/>
      <c r="AB113" s="123"/>
      <c r="AC113" s="127">
        <f t="shared" si="5"/>
        <v>196278.11499999999</v>
      </c>
    </row>
    <row r="114" spans="1:29" s="96" customFormat="1">
      <c r="A114" s="125" t="str">
        <f t="shared" si="3"/>
        <v>vx_CDC</v>
      </c>
      <c r="B114" s="124" t="str">
        <f>preteurs_annees!C114</f>
        <v>CDC</v>
      </c>
      <c r="C114" s="117"/>
      <c r="D114" s="117"/>
      <c r="E114" s="118"/>
      <c r="F114" s="117"/>
      <c r="G114" s="126" t="str">
        <f>IF(LEFT(A114,3)="vx_","vx",INDEX(Categorie,MATCH($A114,emprunts!$A$2:$A$149,0)))</f>
        <v>vx</v>
      </c>
      <c r="H114" s="124">
        <f>preteurs_annees!A114</f>
        <v>2010</v>
      </c>
      <c r="I114" s="119"/>
      <c r="J114" s="119"/>
      <c r="K114" s="119"/>
      <c r="L114" s="119"/>
      <c r="M114" s="119"/>
      <c r="N114" s="120"/>
      <c r="O114" s="127">
        <f>preteurs_annees!E114-preteurs_annees!O114</f>
        <v>-0.37999999988824129</v>
      </c>
      <c r="P114" s="127"/>
      <c r="Q114" s="127">
        <f>preteurs_annees!G114-preteurs_annees!Q114</f>
        <v>0</v>
      </c>
      <c r="R114" s="127">
        <f>preteurs_annees!H114-preteurs_annees!R114</f>
        <v>0</v>
      </c>
      <c r="S114" s="127">
        <f>preteurs_annees!I114-preteurs_annees!S114</f>
        <v>0</v>
      </c>
      <c r="T114" s="128">
        <f t="shared" si="6"/>
        <v>0</v>
      </c>
      <c r="U114" s="127">
        <f t="shared" si="4"/>
        <v>0</v>
      </c>
      <c r="V114" s="119"/>
      <c r="W114" s="121"/>
      <c r="X114" s="119"/>
      <c r="Y114" s="122"/>
      <c r="Z114" s="123"/>
      <c r="AA114" s="123"/>
      <c r="AB114" s="123"/>
      <c r="AC114" s="127">
        <f t="shared" si="5"/>
        <v>0</v>
      </c>
    </row>
    <row r="115" spans="1:29" s="96" customFormat="1">
      <c r="A115" s="125" t="str">
        <f t="shared" si="3"/>
        <v>vx_Dexia CL</v>
      </c>
      <c r="B115" s="124" t="str">
        <f>preteurs_annees!C115</f>
        <v>Dexia CL</v>
      </c>
      <c r="C115" s="117"/>
      <c r="D115" s="117"/>
      <c r="E115" s="118"/>
      <c r="F115" s="117"/>
      <c r="G115" s="126" t="str">
        <f>IF(LEFT(A115,3)="vx_","vx",INDEX(Categorie,MATCH($A115,emprunts!$A$2:$A$149,0)))</f>
        <v>vx</v>
      </c>
      <c r="H115" s="124">
        <f>preteurs_annees!A115</f>
        <v>2010</v>
      </c>
      <c r="I115" s="119"/>
      <c r="J115" s="119"/>
      <c r="K115" s="119"/>
      <c r="L115" s="119"/>
      <c r="M115" s="119"/>
      <c r="N115" s="120"/>
      <c r="O115" s="127">
        <f>preteurs_annees!E115-preteurs_annees!O115</f>
        <v>0.90000000596046448</v>
      </c>
      <c r="P115" s="127"/>
      <c r="Q115" s="127">
        <f>preteurs_annees!G115-preteurs_annees!Q115</f>
        <v>-50466.7717304416</v>
      </c>
      <c r="R115" s="127">
        <f>preteurs_annees!H115-preteurs_annees!R115</f>
        <v>-8857.75</v>
      </c>
      <c r="S115" s="127">
        <f>preteurs_annees!I115-preteurs_annees!S115</f>
        <v>0</v>
      </c>
      <c r="T115" s="128">
        <f t="shared" si="6"/>
        <v>0</v>
      </c>
      <c r="U115" s="127">
        <f t="shared" si="4"/>
        <v>-59324.5217304416</v>
      </c>
      <c r="V115" s="119"/>
      <c r="W115" s="121"/>
      <c r="X115" s="119"/>
      <c r="Y115" s="122"/>
      <c r="Z115" s="123"/>
      <c r="AA115" s="123"/>
      <c r="AB115" s="123"/>
      <c r="AC115" s="127">
        <f t="shared" si="5"/>
        <v>0</v>
      </c>
    </row>
    <row r="116" spans="1:29" s="96" customFormat="1">
      <c r="A116" s="125" t="str">
        <f t="shared" si="3"/>
        <v>vx_Caisse d'Épargne</v>
      </c>
      <c r="B116" s="124" t="str">
        <f>preteurs_annees!C116</f>
        <v>Caisse d'Épargne</v>
      </c>
      <c r="C116" s="117"/>
      <c r="D116" s="117"/>
      <c r="E116" s="118"/>
      <c r="F116" s="117"/>
      <c r="G116" s="126" t="str">
        <f>IF(LEFT(A116,3)="vx_","vx",INDEX(Categorie,MATCH($A116,emprunts!$A$2:$A$149,0)))</f>
        <v>vx</v>
      </c>
      <c r="H116" s="124">
        <f>preteurs_annees!A116</f>
        <v>2010</v>
      </c>
      <c r="I116" s="119"/>
      <c r="J116" s="119"/>
      <c r="K116" s="119"/>
      <c r="L116" s="119"/>
      <c r="M116" s="119"/>
      <c r="N116" s="120"/>
      <c r="O116" s="127">
        <f>preteurs_annees!E116-preteurs_annees!O116</f>
        <v>0.44000000134110451</v>
      </c>
      <c r="P116" s="127"/>
      <c r="Q116" s="127">
        <f>preteurs_annees!G116-preteurs_annees!Q116</f>
        <v>0.20000000006984919</v>
      </c>
      <c r="R116" s="127">
        <f>preteurs_annees!H116-preteurs_annees!R116</f>
        <v>-6857.7800000002608</v>
      </c>
      <c r="S116" s="127">
        <f>preteurs_annees!I116-preteurs_annees!S116</f>
        <v>0</v>
      </c>
      <c r="T116" s="128">
        <f t="shared" si="6"/>
        <v>0</v>
      </c>
      <c r="U116" s="127">
        <f t="shared" si="4"/>
        <v>-6857.5800000001909</v>
      </c>
      <c r="V116" s="119"/>
      <c r="W116" s="121"/>
      <c r="X116" s="119"/>
      <c r="Y116" s="122"/>
      <c r="Z116" s="123"/>
      <c r="AA116" s="123"/>
      <c r="AB116" s="123"/>
      <c r="AC116" s="127">
        <f t="shared" si="5"/>
        <v>0</v>
      </c>
    </row>
    <row r="117" spans="1:29" s="96" customFormat="1">
      <c r="A117" s="125" t="str">
        <f t="shared" si="3"/>
        <v>vx_Crédit Mutuel</v>
      </c>
      <c r="B117" s="124" t="str">
        <f>preteurs_annees!C117</f>
        <v>Crédit Mutuel</v>
      </c>
      <c r="C117" s="117"/>
      <c r="D117" s="117"/>
      <c r="E117" s="118"/>
      <c r="F117" s="117"/>
      <c r="G117" s="126" t="str">
        <f>IF(LEFT(A117,3)="vx_","vx",INDEX(Categorie,MATCH($A117,emprunts!$A$2:$A$149,0)))</f>
        <v>vx</v>
      </c>
      <c r="H117" s="124">
        <f>preteurs_annees!A117</f>
        <v>2010</v>
      </c>
      <c r="I117" s="119"/>
      <c r="J117" s="119"/>
      <c r="K117" s="119"/>
      <c r="L117" s="119"/>
      <c r="M117" s="119"/>
      <c r="N117" s="120"/>
      <c r="O117" s="127">
        <f>preteurs_annees!E117-preteurs_annees!O117</f>
        <v>0.76000000000931323</v>
      </c>
      <c r="P117" s="127"/>
      <c r="Q117" s="127">
        <f>preteurs_annees!G117-preteurs_annees!Q117</f>
        <v>0</v>
      </c>
      <c r="R117" s="127">
        <f>preteurs_annees!H117-preteurs_annees!R117</f>
        <v>0</v>
      </c>
      <c r="S117" s="127">
        <f>preteurs_annees!I117-preteurs_annees!S117</f>
        <v>0</v>
      </c>
      <c r="T117" s="128">
        <f t="shared" si="6"/>
        <v>0</v>
      </c>
      <c r="U117" s="127">
        <f t="shared" si="4"/>
        <v>0</v>
      </c>
      <c r="V117" s="119"/>
      <c r="W117" s="121"/>
      <c r="X117" s="119"/>
      <c r="Y117" s="122"/>
      <c r="Z117" s="123"/>
      <c r="AA117" s="123"/>
      <c r="AB117" s="123"/>
      <c r="AC117" s="127">
        <f t="shared" si="5"/>
        <v>0.76000000000931323</v>
      </c>
    </row>
    <row r="118" spans="1:29" s="96" customFormat="1">
      <c r="A118" s="125" t="str">
        <f t="shared" si="3"/>
        <v>vx_Société générale</v>
      </c>
      <c r="B118" s="124" t="str">
        <f>preteurs_annees!C118</f>
        <v>Société générale</v>
      </c>
      <c r="C118" s="117"/>
      <c r="D118" s="117"/>
      <c r="E118" s="118"/>
      <c r="F118" s="117"/>
      <c r="G118" s="126" t="str">
        <f>IF(LEFT(A118,3)="vx_","vx",INDEX(Categorie,MATCH($A118,emprunts!$A$2:$A$149,0)))</f>
        <v>vx</v>
      </c>
      <c r="H118" s="124">
        <f>preteurs_annees!A118</f>
        <v>2010</v>
      </c>
      <c r="I118" s="119"/>
      <c r="J118" s="119"/>
      <c r="K118" s="119"/>
      <c r="L118" s="119"/>
      <c r="M118" s="119"/>
      <c r="N118" s="120"/>
      <c r="O118" s="127">
        <f>preteurs_annees!E118-preteurs_annees!O118</f>
        <v>0.32000000029802322</v>
      </c>
      <c r="P118" s="127"/>
      <c r="Q118" s="127">
        <f>preteurs_annees!G118-preteurs_annees!Q118</f>
        <v>0</v>
      </c>
      <c r="R118" s="127">
        <f>preteurs_annees!H118-preteurs_annees!R118</f>
        <v>0</v>
      </c>
      <c r="S118" s="127">
        <f>preteurs_annees!I118-preteurs_annees!S118</f>
        <v>0</v>
      </c>
      <c r="T118" s="128">
        <f t="shared" si="6"/>
        <v>0</v>
      </c>
      <c r="U118" s="127">
        <f t="shared" si="4"/>
        <v>0</v>
      </c>
      <c r="V118" s="119"/>
      <c r="W118" s="121"/>
      <c r="X118" s="119"/>
      <c r="Y118" s="122"/>
      <c r="Z118" s="123"/>
      <c r="AA118" s="123"/>
      <c r="AB118" s="123"/>
      <c r="AC118" s="127">
        <f t="shared" si="5"/>
        <v>0.32000000029802322</v>
      </c>
    </row>
    <row r="119" spans="1:29" s="96" customFormat="1">
      <c r="A119" s="125" t="str">
        <f t="shared" si="3"/>
        <v>vx_Crédit Foncier</v>
      </c>
      <c r="B119" s="124" t="str">
        <f>preteurs_annees!C119</f>
        <v>Crédit Foncier</v>
      </c>
      <c r="C119" s="117"/>
      <c r="D119" s="117"/>
      <c r="E119" s="118"/>
      <c r="F119" s="117"/>
      <c r="G119" s="126" t="str">
        <f>IF(LEFT(A119,3)="vx_","vx",INDEX(Categorie,MATCH($A119,emprunts!$A$2:$A$149,0)))</f>
        <v>vx</v>
      </c>
      <c r="H119" s="124">
        <f>preteurs_annees!A119</f>
        <v>2010</v>
      </c>
      <c r="I119" s="119"/>
      <c r="J119" s="119"/>
      <c r="K119" s="119"/>
      <c r="L119" s="119"/>
      <c r="M119" s="119"/>
      <c r="N119" s="120"/>
      <c r="O119" s="127">
        <f>preteurs_annees!E119-preteurs_annees!O119</f>
        <v>0</v>
      </c>
      <c r="P119" s="127"/>
      <c r="Q119" s="127">
        <f>preteurs_annees!G119-preteurs_annees!Q119</f>
        <v>0</v>
      </c>
      <c r="R119" s="127">
        <f>preteurs_annees!H119-preteurs_annees!R119</f>
        <v>0</v>
      </c>
      <c r="S119" s="127">
        <f>preteurs_annees!I119-preteurs_annees!S119</f>
        <v>0</v>
      </c>
      <c r="T119" s="128">
        <f t="shared" si="6"/>
        <v>0</v>
      </c>
      <c r="U119" s="127">
        <f t="shared" si="4"/>
        <v>0</v>
      </c>
      <c r="V119" s="119"/>
      <c r="W119" s="121"/>
      <c r="X119" s="119"/>
      <c r="Y119" s="122"/>
      <c r="Z119" s="123"/>
      <c r="AA119" s="123"/>
      <c r="AB119" s="123"/>
      <c r="AC119" s="127">
        <f t="shared" si="5"/>
        <v>0</v>
      </c>
    </row>
    <row r="120" spans="1:29" s="96" customFormat="1">
      <c r="A120" s="125" t="str">
        <f t="shared" si="3"/>
        <v>vx_Auxifip CEPME</v>
      </c>
      <c r="B120" s="124" t="str">
        <f>preteurs_annees!C120</f>
        <v>Auxifip CEPME</v>
      </c>
      <c r="C120" s="117"/>
      <c r="D120" s="117"/>
      <c r="E120" s="118"/>
      <c r="F120" s="117"/>
      <c r="G120" s="126" t="str">
        <f>IF(LEFT(A120,3)="vx_","vx",INDEX(Categorie,MATCH($A120,emprunts!$A$2:$A$149,0)))</f>
        <v>vx</v>
      </c>
      <c r="H120" s="124">
        <f>preteurs_annees!A120</f>
        <v>2010</v>
      </c>
      <c r="I120" s="119"/>
      <c r="J120" s="119"/>
      <c r="K120" s="119"/>
      <c r="L120" s="119"/>
      <c r="M120" s="119"/>
      <c r="N120" s="120"/>
      <c r="O120" s="127">
        <f>preteurs_annees!E120-preteurs_annees!O120</f>
        <v>0</v>
      </c>
      <c r="P120" s="127"/>
      <c r="Q120" s="127">
        <f>preteurs_annees!G120-preteurs_annees!Q120</f>
        <v>0</v>
      </c>
      <c r="R120" s="127">
        <f>preteurs_annees!H120-preteurs_annees!R120</f>
        <v>0</v>
      </c>
      <c r="S120" s="127">
        <f>preteurs_annees!I120-preteurs_annees!S120</f>
        <v>0</v>
      </c>
      <c r="T120" s="128">
        <f t="shared" si="6"/>
        <v>0</v>
      </c>
      <c r="U120" s="127">
        <f t="shared" si="4"/>
        <v>0</v>
      </c>
      <c r="V120" s="119"/>
      <c r="W120" s="121"/>
      <c r="X120" s="119"/>
      <c r="Y120" s="122"/>
      <c r="Z120" s="123"/>
      <c r="AA120" s="123"/>
      <c r="AB120" s="123"/>
      <c r="AC120" s="127">
        <f t="shared" si="5"/>
        <v>0</v>
      </c>
    </row>
    <row r="121" spans="1:29" s="96" customFormat="1">
      <c r="A121" s="125" t="str">
        <f t="shared" si="3"/>
        <v>vx_Natixis</v>
      </c>
      <c r="B121" s="124" t="str">
        <f>preteurs_annees!C121</f>
        <v>Natixis</v>
      </c>
      <c r="C121" s="117"/>
      <c r="D121" s="117"/>
      <c r="E121" s="118"/>
      <c r="F121" s="117"/>
      <c r="G121" s="126" t="str">
        <f>IF(LEFT(A121,3)="vx_","vx",INDEX(Categorie,MATCH($A121,emprunts!$A$2:$A$149,0)))</f>
        <v>vx</v>
      </c>
      <c r="H121" s="124">
        <f>preteurs_annees!A121</f>
        <v>2010</v>
      </c>
      <c r="I121" s="119"/>
      <c r="J121" s="119"/>
      <c r="K121" s="119"/>
      <c r="L121" s="119"/>
      <c r="M121" s="119"/>
      <c r="N121" s="120"/>
      <c r="O121" s="127">
        <f>preteurs_annees!E121-preteurs_annees!O121</f>
        <v>0</v>
      </c>
      <c r="P121" s="127"/>
      <c r="Q121" s="127">
        <f>preteurs_annees!G121-preteurs_annees!Q121</f>
        <v>0</v>
      </c>
      <c r="R121" s="127">
        <f>preteurs_annees!H121-preteurs_annees!R121</f>
        <v>0</v>
      </c>
      <c r="S121" s="127">
        <f>preteurs_annees!I121-preteurs_annees!S121</f>
        <v>0</v>
      </c>
      <c r="T121" s="128">
        <f t="shared" si="6"/>
        <v>0</v>
      </c>
      <c r="U121" s="127">
        <f t="shared" si="4"/>
        <v>0</v>
      </c>
      <c r="V121" s="119"/>
      <c r="W121" s="121"/>
      <c r="X121" s="119"/>
      <c r="Y121" s="122"/>
      <c r="Z121" s="123"/>
      <c r="AA121" s="123"/>
      <c r="AB121" s="123"/>
      <c r="AC121" s="127">
        <f t="shared" si="5"/>
        <v>0</v>
      </c>
    </row>
    <row r="122" spans="1:29" s="96" customFormat="1">
      <c r="A122" s="125" t="str">
        <f t="shared" si="3"/>
        <v>vx_Deutsche Hypothekenbank</v>
      </c>
      <c r="B122" s="124" t="str">
        <f>preteurs_annees!C122</f>
        <v>Deutsche Hypothekenbank</v>
      </c>
      <c r="C122" s="117"/>
      <c r="D122" s="117"/>
      <c r="E122" s="118"/>
      <c r="F122" s="117"/>
      <c r="G122" s="126" t="str">
        <f>IF(LEFT(A122,3)="vx_","vx",INDEX(Categorie,MATCH($A122,emprunts!$A$2:$A$149,0)))</f>
        <v>vx</v>
      </c>
      <c r="H122" s="124">
        <f>preteurs_annees!A122</f>
        <v>2010</v>
      </c>
      <c r="I122" s="119"/>
      <c r="J122" s="119"/>
      <c r="K122" s="119"/>
      <c r="L122" s="119"/>
      <c r="M122" s="119"/>
      <c r="N122" s="120"/>
      <c r="O122" s="127">
        <f>preteurs_annees!E122-preteurs_annees!O122</f>
        <v>0</v>
      </c>
      <c r="P122" s="127"/>
      <c r="Q122" s="127">
        <f>preteurs_annees!G122-preteurs_annees!Q122</f>
        <v>0</v>
      </c>
      <c r="R122" s="127">
        <f>preteurs_annees!H122-preteurs_annees!R122</f>
        <v>0</v>
      </c>
      <c r="S122" s="127">
        <f>preteurs_annees!I122-preteurs_annees!S122</f>
        <v>0</v>
      </c>
      <c r="T122" s="128">
        <f t="shared" si="6"/>
        <v>0</v>
      </c>
      <c r="U122" s="127">
        <f t="shared" si="4"/>
        <v>0</v>
      </c>
      <c r="V122" s="119"/>
      <c r="W122" s="121"/>
      <c r="X122" s="119"/>
      <c r="Y122" s="122"/>
      <c r="Z122" s="123"/>
      <c r="AA122" s="123"/>
      <c r="AB122" s="123"/>
      <c r="AC122" s="127">
        <f t="shared" si="5"/>
        <v>0</v>
      </c>
    </row>
    <row r="123" spans="1:29">
      <c r="A123" s="1" t="s">
        <v>10</v>
      </c>
      <c r="B123" s="16" t="str">
        <f>INDEX(emprunts!C:C,MATCH($A123,emprunts!A:A,0))</f>
        <v>Crédit Mutuel</v>
      </c>
      <c r="C123" s="18">
        <f>INDEX(emprunts!M:M,MATCH($A123,emprunts!$A:$A,0))</f>
        <v>36950</v>
      </c>
      <c r="D123" s="18">
        <f>IF(INDEX(emprunts!O:O,MATCH($A123,emprunts!$A:$A,0))="",INDEX(emprunts!N:N,MATCH($A123,emprunts!$A:$A,0)),MIN(INDEX(emprunts!N:N,MATCH($A123,emprunts!$A:$A,0)),INDEX(emprunts!O:O,MATCH($A123,emprunts!$A:$A,0))))</f>
        <v>42429</v>
      </c>
      <c r="E123" s="52">
        <f>INDEX(emprunts!I:I,MATCH($A123,emprunts!$A:$A,0))</f>
        <v>15</v>
      </c>
      <c r="F123" s="18" t="str">
        <f>INDEX(emprunts!P:P,MATCH($A123,emprunts!$A:$A,0))</f>
        <v>Fixe</v>
      </c>
      <c r="G123" s="126" t="str">
        <f>IF(LEFT(A123,3)="vx_","vx",INDEX(Categorie,MATCH($A123,emprunts!$A$2:$A$149,0)))</f>
        <v>Non_st</v>
      </c>
      <c r="H123" s="6">
        <v>2001</v>
      </c>
      <c r="I123">
        <f t="shared" ref="I123:I186" si="7">1*(C123&lt;DATE(H123,12,31))</f>
        <v>1</v>
      </c>
      <c r="J123" s="4">
        <v>0</v>
      </c>
      <c r="K123" t="s">
        <v>155</v>
      </c>
      <c r="L123" s="5">
        <v>37315</v>
      </c>
      <c r="M123" s="5">
        <v>37315</v>
      </c>
      <c r="N123" s="14">
        <f>4000000*F</f>
        <v>609889.04593531822</v>
      </c>
      <c r="O123" s="14">
        <f>4000000*F</f>
        <v>609889.04593531822</v>
      </c>
      <c r="P123" s="4">
        <f>4.83%</f>
        <v>4.8300000000000003E-2</v>
      </c>
      <c r="Q123" s="14">
        <v>0</v>
      </c>
      <c r="R123" s="14">
        <v>0</v>
      </c>
      <c r="S123" s="14">
        <v>0</v>
      </c>
      <c r="T123" s="14">
        <f>163115.19*F</f>
        <v>24870.541901664539</v>
      </c>
      <c r="U123" s="14">
        <v>0</v>
      </c>
      <c r="V123" s="14">
        <f>IF(U123="","",U123-SUM(Q123:S123))</f>
        <v>0</v>
      </c>
      <c r="W123" s="85"/>
      <c r="X123" s="85">
        <f t="shared" ref="X123:X186" si="8">SUMPRODUCT((De=$A123)*(année_refi=$H123),Montant_transfere)</f>
        <v>0</v>
      </c>
      <c r="Y123" s="21">
        <f t="shared" ref="Y123:Y186" si="9">IF(AND(AA123&gt;0,YEAR(C123)&lt;=H123),AA123/AC123,"")</f>
        <v>4.8641376102941176E-2</v>
      </c>
      <c r="AA123" s="55">
        <f t="shared" ref="AA123:AA186" si="10">T123+Q123+S123-SUMPRODUCT(($A$123:$A$1367=$A123)*($H$123:$H$1367=$H123-1),$T$123:$T$1367)</f>
        <v>24870.541901664539</v>
      </c>
      <c r="AB123" s="55" t="str">
        <f t="shared" ref="AB123:AB186" si="11">IF(YEAR(C123)=H123,"",O123+R123+X123-W123-SUMPRODUCT(($A$123:$A$1367=$A123)*($H$123:$H$1367=$H123-1),$O$123:$O$1367))</f>
        <v/>
      </c>
      <c r="AC123" s="55">
        <f>MAX(0,(C123-DATE(H123,1,1))/365)*0+MAX(0,MIN(1,(MIN(DATE(H123,12,31),D123)-MAX(DATE(H123,1,1),C123))/365))*(O123+X123+R123/2)</f>
        <v>511304.2412498832</v>
      </c>
    </row>
    <row r="124" spans="1:29">
      <c r="A124" s="1" t="s">
        <v>540</v>
      </c>
      <c r="B124" s="16" t="str">
        <f>INDEX(emprunts!C:C,MATCH($A124,emprunts!A:A,0))</f>
        <v>Crédit Mutuel</v>
      </c>
      <c r="C124" s="18">
        <f>INDEX(emprunts!M:M,MATCH($A124,emprunts!$A:$A,0))</f>
        <v>36495</v>
      </c>
      <c r="D124" s="18">
        <f>IF(INDEX(emprunts!O:O,MATCH($A124,emprunts!$A:$A,0))="",INDEX(emprunts!N:N,MATCH($A124,emprunts!$A:$A,0)),MIN(INDEX(emprunts!N:N,MATCH($A124,emprunts!$A:$A,0)),INDEX(emprunts!O:O,MATCH($A124,emprunts!$A:$A,0))))</f>
        <v>41973</v>
      </c>
      <c r="E124" s="52">
        <f>INDEX(emprunts!I:I,MATCH($A124,emprunts!$A:$A,0))</f>
        <v>15</v>
      </c>
      <c r="F124" s="18" t="str">
        <f>INDEX(emprunts!P:P,MATCH($A124,emprunts!$A:$A,0))</f>
        <v>Fixe à phase</v>
      </c>
      <c r="G124" s="126" t="str">
        <f>IF(LEFT(A124,3)="vx_","vx",INDEX(Categorie,MATCH($A124,emprunts!$A$2:$A$149,0)))</f>
        <v>Non_st</v>
      </c>
      <c r="H124" s="6">
        <v>2001</v>
      </c>
      <c r="I124">
        <f t="shared" si="7"/>
        <v>1</v>
      </c>
      <c r="J124" s="4"/>
      <c r="K124" t="s">
        <v>155</v>
      </c>
      <c r="L124" s="5">
        <v>36860</v>
      </c>
      <c r="M124" s="5">
        <v>36860</v>
      </c>
      <c r="N124" s="14">
        <v>1524490.17</v>
      </c>
      <c r="O124" s="14">
        <f>9047311.91*F</f>
        <v>1379464.1072672855</v>
      </c>
      <c r="P124" s="4">
        <v>5.3900000000000003E-2</v>
      </c>
      <c r="Q124" s="14">
        <f>527124.95*F</f>
        <v>80371.933211050578</v>
      </c>
      <c r="R124" s="14">
        <f>467578.09*F</f>
        <v>71292.68880258959</v>
      </c>
      <c r="S124" s="14"/>
      <c r="T124" s="14">
        <f>42569.44*F</f>
        <v>6490.6587869001933</v>
      </c>
      <c r="U124" s="14">
        <f>994703.03*F</f>
        <v>151664.62048891757</v>
      </c>
      <c r="V124" s="14">
        <f t="shared" ref="V124:V187" si="12">IF(U124="","",U124-SUM(Q124:S124))</f>
        <v>-1.524722611065954E-3</v>
      </c>
      <c r="W124" s="85"/>
      <c r="X124" s="85">
        <f t="shared" si="8"/>
        <v>0</v>
      </c>
      <c r="Y124" s="21">
        <f t="shared" si="9"/>
        <v>6.1550831873051416E-2</v>
      </c>
      <c r="AA124" s="55">
        <f t="shared" si="10"/>
        <v>86862.591997950774</v>
      </c>
      <c r="AB124" s="55">
        <f t="shared" si="11"/>
        <v>1450756.7960698751</v>
      </c>
      <c r="AC124" s="55">
        <f t="shared" ref="AC124:AC187" si="13">MAX(0,(C124-DATE(H124,1,1))/365)*0+MAX(0,MIN(1,(MIN(DATE(H124,12,31),D124)-MAX(DATE(H124,1,1),C124))/365))*(O124+X124+R124/2)</f>
        <v>1411233.436732502</v>
      </c>
    </row>
    <row r="125" spans="1:29">
      <c r="A125" s="1" t="s">
        <v>14</v>
      </c>
      <c r="B125" s="16" t="str">
        <f>INDEX(emprunts!C:C,MATCH($A125,emprunts!A:A,0))</f>
        <v>CDC</v>
      </c>
      <c r="C125" s="18">
        <f>INDEX(emprunts!M:M,MATCH($A125,emprunts!$A:$A,0))</f>
        <v>37006</v>
      </c>
      <c r="D125" s="18">
        <f>IF(INDEX(emprunts!O:O,MATCH($A125,emprunts!$A:$A,0))="",INDEX(emprunts!N:N,MATCH($A125,emprunts!$A:$A,0)),MIN(INDEX(emprunts!N:N,MATCH($A125,emprunts!$A:$A,0)),INDEX(emprunts!O:O,MATCH($A125,emprunts!$A:$A,0))))</f>
        <v>38102</v>
      </c>
      <c r="E125" s="52">
        <f>INDEX(emprunts!I:I,MATCH($A125,emprunts!$A:$A,0))</f>
        <v>3</v>
      </c>
      <c r="F125" s="18" t="str">
        <f>INDEX(emprunts!P:P,MATCH($A125,emprunts!$A:$A,0))</f>
        <v>Fixe</v>
      </c>
      <c r="G125" s="126" t="str">
        <f>IF(LEFT(A125,3)="vx_","vx",INDEX(Categorie,MATCH($A125,emprunts!$A$2:$A$149,0)))</f>
        <v>Non_st</v>
      </c>
      <c r="H125" s="6">
        <v>2001</v>
      </c>
      <c r="I125">
        <f t="shared" si="7"/>
        <v>1</v>
      </c>
      <c r="J125" s="4"/>
      <c r="N125" s="14"/>
      <c r="O125" s="14"/>
      <c r="P125" s="4"/>
      <c r="Q125" s="14"/>
      <c r="R125" s="14"/>
      <c r="T125" s="14"/>
      <c r="U125" s="14"/>
      <c r="V125" s="14" t="str">
        <f t="shared" si="12"/>
        <v/>
      </c>
      <c r="W125" s="85"/>
      <c r="X125" s="85">
        <f t="shared" si="8"/>
        <v>0</v>
      </c>
      <c r="Y125" s="21" t="str">
        <f t="shared" si="9"/>
        <v/>
      </c>
      <c r="Z125" t="s">
        <v>618</v>
      </c>
      <c r="AA125" s="55">
        <f t="shared" si="10"/>
        <v>0</v>
      </c>
      <c r="AB125" s="55" t="str">
        <f t="shared" si="11"/>
        <v/>
      </c>
      <c r="AC125" s="55">
        <f t="shared" si="13"/>
        <v>0</v>
      </c>
    </row>
    <row r="126" spans="1:29">
      <c r="A126" t="s">
        <v>16</v>
      </c>
      <c r="B126" s="16" t="str">
        <f>INDEX(emprunts!C:C,MATCH($A126,emprunts!A:A,0))</f>
        <v>Caisse d'Épargne</v>
      </c>
      <c r="C126" s="18">
        <f>INDEX(emprunts!M:M,MATCH($A126,emprunts!$A:$A,0))</f>
        <v>37189</v>
      </c>
      <c r="D126" s="18">
        <f>IF(INDEX(emprunts!O:O,MATCH($A126,emprunts!$A:$A,0))="",INDEX(emprunts!N:N,MATCH($A126,emprunts!$A:$A,0)),MIN(INDEX(emprunts!N:N,MATCH($A126,emprunts!$A:$A,0)),INDEX(emprunts!O:O,MATCH($A126,emprunts!$A:$A,0))))</f>
        <v>38773</v>
      </c>
      <c r="E126" s="52">
        <f>INDEX(emprunts!I:I,MATCH($A126,emprunts!$A:$A,0))</f>
        <v>19</v>
      </c>
      <c r="F126" s="18" t="str">
        <f>INDEX(emprunts!P:P,MATCH($A126,emprunts!$A:$A,0))</f>
        <v>Pente</v>
      </c>
      <c r="G126" s="126" t="str">
        <f>IF(LEFT(A126,3)="vx_","vx",INDEX(Categorie,MATCH($A126,emprunts!$A$2:$A$149,0)))</f>
        <v>Struct</v>
      </c>
      <c r="H126" s="6">
        <v>2001</v>
      </c>
      <c r="I126">
        <f t="shared" si="7"/>
        <v>1</v>
      </c>
      <c r="J126" s="4"/>
      <c r="N126" s="14"/>
      <c r="O126" s="14"/>
      <c r="P126" s="4"/>
      <c r="Q126" s="14"/>
      <c r="R126" s="14"/>
      <c r="T126" s="14"/>
      <c r="U126" s="14"/>
      <c r="V126" s="14" t="str">
        <f t="shared" si="12"/>
        <v/>
      </c>
      <c r="W126" s="85"/>
      <c r="X126" s="85">
        <f t="shared" si="8"/>
        <v>0</v>
      </c>
      <c r="Y126" s="21" t="str">
        <f t="shared" si="9"/>
        <v/>
      </c>
      <c r="AA126" s="55">
        <f t="shared" si="10"/>
        <v>0</v>
      </c>
      <c r="AB126" s="55" t="str">
        <f t="shared" si="11"/>
        <v/>
      </c>
      <c r="AC126" s="55">
        <f t="shared" si="13"/>
        <v>0</v>
      </c>
    </row>
    <row r="127" spans="1:29">
      <c r="A127" s="1" t="s">
        <v>22</v>
      </c>
      <c r="B127" s="16" t="str">
        <f>INDEX(emprunts!C:C,MATCH($A127,emprunts!A:A,0))</f>
        <v>Dexia CL</v>
      </c>
      <c r="C127" s="18">
        <f>INDEX(emprunts!M:M,MATCH($A127,emprunts!$A:$A,0))</f>
        <v>37221</v>
      </c>
      <c r="D127" s="18">
        <f>IF(INDEX(emprunts!O:O,MATCH($A127,emprunts!$A:$A,0))="",INDEX(emprunts!N:N,MATCH($A127,emprunts!$A:$A,0)),MIN(INDEX(emprunts!N:N,MATCH($A127,emprunts!$A:$A,0)),INDEX(emprunts!O:O,MATCH($A127,emprunts!$A:$A,0))))</f>
        <v>38777</v>
      </c>
      <c r="E127" s="52">
        <f>INDEX(emprunts!I:I,MATCH($A127,emprunts!$A:$A,0))</f>
        <v>20</v>
      </c>
      <c r="F127" s="18" t="str">
        <f>INDEX(emprunts!P:P,MATCH($A127,emprunts!$A:$A,0))</f>
        <v>Annulable</v>
      </c>
      <c r="G127" s="126" t="str">
        <f>IF(LEFT(A127,3)="vx_","vx",INDEX(Categorie,MATCH($A127,emprunts!$A$2:$A$149,0)))</f>
        <v>Struct</v>
      </c>
      <c r="H127" s="6">
        <v>2001</v>
      </c>
      <c r="I127">
        <f t="shared" si="7"/>
        <v>1</v>
      </c>
      <c r="J127" s="4">
        <v>0</v>
      </c>
      <c r="K127" t="s">
        <v>154</v>
      </c>
      <c r="L127" s="5">
        <v>37316</v>
      </c>
      <c r="M127" s="5">
        <v>37316</v>
      </c>
      <c r="N127" s="14">
        <f>20000000*F</f>
        <v>3049445.2296765912</v>
      </c>
      <c r="O127" s="14">
        <f>20000000*F</f>
        <v>3049445.2296765912</v>
      </c>
      <c r="P127" s="4">
        <v>4.4299999999999999E-2</v>
      </c>
      <c r="Q127" s="14">
        <v>0</v>
      </c>
      <c r="R127" s="14">
        <v>0</v>
      </c>
      <c r="S127" s="14">
        <v>0</v>
      </c>
      <c r="T127" s="14">
        <f>81895.38*F</f>
        <v>12486.773793677587</v>
      </c>
      <c r="U127" s="14">
        <v>0</v>
      </c>
      <c r="V127" s="14">
        <f t="shared" si="12"/>
        <v>0</v>
      </c>
      <c r="W127" s="85"/>
      <c r="X127" s="85">
        <f t="shared" si="8"/>
        <v>0</v>
      </c>
      <c r="Y127" s="21">
        <f t="shared" si="9"/>
        <v>4.2702591000000005E-2</v>
      </c>
      <c r="AA127" s="55">
        <f t="shared" si="10"/>
        <v>12486.773793677587</v>
      </c>
      <c r="AB127" s="55" t="str">
        <f t="shared" si="11"/>
        <v/>
      </c>
      <c r="AC127" s="55">
        <f t="shared" si="13"/>
        <v>292412.55627035804</v>
      </c>
    </row>
    <row r="128" spans="1:29">
      <c r="A128" s="1" t="s">
        <v>540</v>
      </c>
      <c r="B128" s="16" t="str">
        <f>INDEX(emprunts!C:C,MATCH($A128,emprunts!A:A,0))</f>
        <v>Crédit Mutuel</v>
      </c>
      <c r="C128" s="18">
        <f>INDEX(emprunts!M:M,MATCH($A128,emprunts!$A:$A,0))</f>
        <v>36495</v>
      </c>
      <c r="D128" s="18">
        <f>IF(INDEX(emprunts!O:O,MATCH($A128,emprunts!$A:$A,0))="",INDEX(emprunts!N:N,MATCH($A128,emprunts!$A:$A,0)),MIN(INDEX(emprunts!N:N,MATCH($A128,emprunts!$A:$A,0)),INDEX(emprunts!O:O,MATCH($A128,emprunts!$A:$A,0))))</f>
        <v>41973</v>
      </c>
      <c r="E128" s="52">
        <f>INDEX(emprunts!I:I,MATCH($A128,emprunts!$A:$A,0))</f>
        <v>15</v>
      </c>
      <c r="F128" s="18" t="str">
        <f>INDEX(emprunts!P:P,MATCH($A128,emprunts!$A:$A,0))</f>
        <v>Fixe à phase</v>
      </c>
      <c r="G128" s="126" t="str">
        <f>IF(LEFT(A128,3)="vx_","vx",INDEX(Categorie,MATCH($A128,emprunts!$A$2:$A$149,0)))</f>
        <v>Non_st</v>
      </c>
      <c r="H128" s="6">
        <v>2002</v>
      </c>
      <c r="I128">
        <f t="shared" si="7"/>
        <v>1</v>
      </c>
      <c r="J128" s="4"/>
      <c r="K128" t="s">
        <v>155</v>
      </c>
      <c r="L128" s="5">
        <v>36860</v>
      </c>
      <c r="M128" s="5">
        <v>36860</v>
      </c>
      <c r="N128" s="14">
        <v>1524490.17</v>
      </c>
      <c r="O128" s="89">
        <v>1379254</v>
      </c>
      <c r="P128" s="4">
        <v>5.3900000000000003E-2</v>
      </c>
      <c r="Q128" s="14">
        <v>76410.66</v>
      </c>
      <c r="R128" s="14">
        <v>0</v>
      </c>
      <c r="S128" s="14"/>
      <c r="T128" s="14">
        <v>6135.7</v>
      </c>
      <c r="U128" s="14">
        <f>SUM(Q128:S128)</f>
        <v>76410.66</v>
      </c>
      <c r="V128" s="14">
        <f t="shared" si="12"/>
        <v>0</v>
      </c>
      <c r="W128" s="85"/>
      <c r="X128" s="85">
        <f t="shared" si="8"/>
        <v>0</v>
      </c>
      <c r="Y128" s="21">
        <f t="shared" si="9"/>
        <v>5.529412671429753E-2</v>
      </c>
      <c r="Z128" t="s">
        <v>620</v>
      </c>
      <c r="AA128" s="55">
        <f t="shared" si="10"/>
        <v>76055.701213099805</v>
      </c>
      <c r="AB128" s="55">
        <f t="shared" si="11"/>
        <v>-210.10726728546433</v>
      </c>
      <c r="AC128" s="55">
        <f t="shared" si="13"/>
        <v>1375475.2219178083</v>
      </c>
    </row>
    <row r="129" spans="1:29">
      <c r="A129" s="1" t="s">
        <v>10</v>
      </c>
      <c r="B129" s="16" t="str">
        <f>INDEX(emprunts!C:C,MATCH($A129,emprunts!A:A,0))</f>
        <v>Crédit Mutuel</v>
      </c>
      <c r="C129" s="18">
        <f>INDEX(emprunts!M:M,MATCH($A129,emprunts!$A:$A,0))</f>
        <v>36950</v>
      </c>
      <c r="D129" s="18">
        <f>IF(INDEX(emprunts!O:O,MATCH($A129,emprunts!$A:$A,0))="",INDEX(emprunts!N:N,MATCH($A129,emprunts!$A:$A,0)),MIN(INDEX(emprunts!N:N,MATCH($A129,emprunts!$A:$A,0)),INDEX(emprunts!O:O,MATCH($A129,emprunts!$A:$A,0))))</f>
        <v>42429</v>
      </c>
      <c r="E129" s="52">
        <f>INDEX(emprunts!I:I,MATCH($A129,emprunts!$A:$A,0))</f>
        <v>15</v>
      </c>
      <c r="F129" s="18" t="str">
        <f>INDEX(emprunts!P:P,MATCH($A129,emprunts!$A:$A,0))</f>
        <v>Fixe</v>
      </c>
      <c r="G129" s="126" t="str">
        <f>IF(LEFT(A129,3)="vx_","vx",INDEX(Categorie,MATCH($A129,emprunts!$A$2:$A$149,0)))</f>
        <v>Non_st</v>
      </c>
      <c r="H129" s="6">
        <v>2002</v>
      </c>
      <c r="I129">
        <f t="shared" si="7"/>
        <v>1</v>
      </c>
      <c r="J129" s="4">
        <v>0</v>
      </c>
      <c r="K129" t="s">
        <v>155</v>
      </c>
      <c r="L129" s="5">
        <v>37315</v>
      </c>
      <c r="M129" s="5">
        <v>37315</v>
      </c>
      <c r="N129" s="14">
        <v>609796.06999999995</v>
      </c>
      <c r="O129" s="14">
        <v>569143</v>
      </c>
      <c r="P129" s="4">
        <v>4.8300000000000003E-2</v>
      </c>
      <c r="Q129" s="14">
        <v>29226.95</v>
      </c>
      <c r="R129" s="14">
        <v>0</v>
      </c>
      <c r="T129" s="14">
        <v>23809.52</v>
      </c>
      <c r="U129" s="14">
        <v>29226.95</v>
      </c>
      <c r="V129" s="14">
        <f t="shared" si="12"/>
        <v>0</v>
      </c>
      <c r="W129" s="85"/>
      <c r="X129" s="85">
        <f t="shared" si="8"/>
        <v>0</v>
      </c>
      <c r="Y129" s="21">
        <f t="shared" si="9"/>
        <v>4.9624271969755461E-2</v>
      </c>
      <c r="AA129" s="55">
        <f t="shared" si="10"/>
        <v>28165.928098335462</v>
      </c>
      <c r="AB129" s="55">
        <f t="shared" si="11"/>
        <v>-40746.045935318223</v>
      </c>
      <c r="AC129" s="55">
        <f t="shared" si="13"/>
        <v>567583.7041095891</v>
      </c>
    </row>
    <row r="130" spans="1:29">
      <c r="A130" s="1" t="s">
        <v>14</v>
      </c>
      <c r="B130" s="16" t="str">
        <f>INDEX(emprunts!C:C,MATCH($A130,emprunts!A:A,0))</f>
        <v>CDC</v>
      </c>
      <c r="C130" s="18">
        <f>INDEX(emprunts!M:M,MATCH($A130,emprunts!$A:$A,0))</f>
        <v>37006</v>
      </c>
      <c r="D130" s="18">
        <f>IF(INDEX(emprunts!O:O,MATCH($A130,emprunts!$A:$A,0))="",INDEX(emprunts!N:N,MATCH($A130,emprunts!$A:$A,0)),MIN(INDEX(emprunts!N:N,MATCH($A130,emprunts!$A:$A,0)),INDEX(emprunts!O:O,MATCH($A130,emprunts!$A:$A,0))))</f>
        <v>38102</v>
      </c>
      <c r="E130" s="52">
        <f>INDEX(emprunts!I:I,MATCH($A130,emprunts!$A:$A,0))</f>
        <v>3</v>
      </c>
      <c r="F130" s="18" t="str">
        <f>INDEX(emprunts!P:P,MATCH($A130,emprunts!$A:$A,0))</f>
        <v>Fixe</v>
      </c>
      <c r="G130" s="126" t="str">
        <f>IF(LEFT(A130,3)="vx_","vx",INDEX(Categorie,MATCH($A130,emprunts!$A$2:$A$149,0)))</f>
        <v>Non_st</v>
      </c>
      <c r="H130" s="6">
        <v>2002</v>
      </c>
      <c r="I130">
        <f t="shared" si="7"/>
        <v>1</v>
      </c>
      <c r="J130" s="4"/>
      <c r="L130" s="88">
        <v>37006</v>
      </c>
      <c r="M130" s="88">
        <v>37006</v>
      </c>
      <c r="N130" s="49"/>
      <c r="O130" s="14">
        <v>945184</v>
      </c>
      <c r="P130" s="4"/>
      <c r="Q130" s="14"/>
      <c r="R130" s="14"/>
      <c r="T130" s="14"/>
      <c r="U130" s="14"/>
      <c r="V130" s="14" t="str">
        <f t="shared" si="12"/>
        <v/>
      </c>
      <c r="W130" s="85"/>
      <c r="X130" s="85">
        <f t="shared" si="8"/>
        <v>0</v>
      </c>
      <c r="Y130" s="21" t="str">
        <f t="shared" si="9"/>
        <v/>
      </c>
      <c r="AA130" s="55">
        <f t="shared" si="10"/>
        <v>0</v>
      </c>
      <c r="AB130" s="55">
        <f t="shared" si="11"/>
        <v>945184</v>
      </c>
      <c r="AC130" s="55">
        <f t="shared" si="13"/>
        <v>942594.45479452051</v>
      </c>
    </row>
    <row r="131" spans="1:29">
      <c r="A131" t="s">
        <v>16</v>
      </c>
      <c r="B131" s="16" t="str">
        <f>INDEX(emprunts!C:C,MATCH($A131,emprunts!A:A,0))</f>
        <v>Caisse d'Épargne</v>
      </c>
      <c r="C131" s="18">
        <f>INDEX(emprunts!M:M,MATCH($A131,emprunts!$A:$A,0))</f>
        <v>37189</v>
      </c>
      <c r="D131" s="18">
        <f>IF(INDEX(emprunts!O:O,MATCH($A131,emprunts!$A:$A,0))="",INDEX(emprunts!N:N,MATCH($A131,emprunts!$A:$A,0)),MIN(INDEX(emprunts!N:N,MATCH($A131,emprunts!$A:$A,0)),INDEX(emprunts!O:O,MATCH($A131,emprunts!$A:$A,0))))</f>
        <v>38773</v>
      </c>
      <c r="E131" s="52">
        <f>INDEX(emprunts!I:I,MATCH($A131,emprunts!$A:$A,0))</f>
        <v>19</v>
      </c>
      <c r="F131" s="18" t="str">
        <f>INDEX(emprunts!P:P,MATCH($A131,emprunts!$A:$A,0))</f>
        <v>Pente</v>
      </c>
      <c r="G131" s="126" t="str">
        <f>IF(LEFT(A131,3)="vx_","vx",INDEX(Categorie,MATCH($A131,emprunts!$A$2:$A$149,0)))</f>
        <v>Struct</v>
      </c>
      <c r="H131" s="6">
        <v>2002</v>
      </c>
      <c r="I131">
        <f t="shared" si="7"/>
        <v>1</v>
      </c>
      <c r="J131" s="4"/>
      <c r="N131" s="14">
        <v>11859925.98</v>
      </c>
      <c r="O131" s="14">
        <v>11859925.98</v>
      </c>
      <c r="P131" s="4"/>
      <c r="Q131" s="14"/>
      <c r="R131" s="14"/>
      <c r="T131" s="14"/>
      <c r="U131" s="14"/>
      <c r="V131" s="14" t="str">
        <f t="shared" si="12"/>
        <v/>
      </c>
      <c r="W131" s="85"/>
      <c r="X131" s="85">
        <f t="shared" si="8"/>
        <v>0</v>
      </c>
      <c r="Y131" s="21" t="str">
        <f t="shared" si="9"/>
        <v/>
      </c>
      <c r="AA131" s="55">
        <f t="shared" si="10"/>
        <v>0</v>
      </c>
      <c r="AB131" s="55">
        <f t="shared" si="11"/>
        <v>11859925.98</v>
      </c>
      <c r="AC131" s="55">
        <f t="shared" si="13"/>
        <v>11827433.03210959</v>
      </c>
    </row>
    <row r="132" spans="1:29">
      <c r="A132" s="1" t="s">
        <v>22</v>
      </c>
      <c r="B132" s="16" t="str">
        <f>INDEX(emprunts!C:C,MATCH($A132,emprunts!A:A,0))</f>
        <v>Dexia CL</v>
      </c>
      <c r="C132" s="18">
        <f>INDEX(emprunts!M:M,MATCH($A132,emprunts!$A:$A,0))</f>
        <v>37221</v>
      </c>
      <c r="D132" s="18">
        <f>IF(INDEX(emprunts!O:O,MATCH($A132,emprunts!$A:$A,0))="",INDEX(emprunts!N:N,MATCH($A132,emprunts!$A:$A,0)),MIN(INDEX(emprunts!N:N,MATCH($A132,emprunts!$A:$A,0)),INDEX(emprunts!O:O,MATCH($A132,emprunts!$A:$A,0))))</f>
        <v>38777</v>
      </c>
      <c r="E132" s="52">
        <f>INDEX(emprunts!I:I,MATCH($A132,emprunts!$A:$A,0))</f>
        <v>20</v>
      </c>
      <c r="F132" s="18" t="str">
        <f>INDEX(emprunts!P:P,MATCH($A132,emprunts!$A:$A,0))</f>
        <v>Annulable</v>
      </c>
      <c r="G132" s="126" t="str">
        <f>IF(LEFT(A132,3)="vx_","vx",INDEX(Categorie,MATCH($A132,emprunts!$A$2:$A$149,0)))</f>
        <v>Struct</v>
      </c>
      <c r="H132" s="6">
        <v>2002</v>
      </c>
      <c r="I132">
        <f t="shared" si="7"/>
        <v>1</v>
      </c>
      <c r="J132" s="4">
        <v>0</v>
      </c>
      <c r="K132" t="s">
        <v>154</v>
      </c>
      <c r="L132" s="5">
        <v>37316</v>
      </c>
      <c r="M132" s="5">
        <v>37316</v>
      </c>
      <c r="N132" s="14">
        <v>3048980.34</v>
      </c>
      <c r="O132" s="14">
        <v>2896531.33</v>
      </c>
      <c r="P132" s="4">
        <v>4.4299999999999999E-2</v>
      </c>
      <c r="Q132" s="14">
        <v>131941.22</v>
      </c>
      <c r="R132" s="14">
        <v>152449</v>
      </c>
      <c r="T132" s="14">
        <v>10335.1</v>
      </c>
      <c r="U132" s="14">
        <v>284390.21999999997</v>
      </c>
      <c r="V132" s="14">
        <f t="shared" si="12"/>
        <v>0</v>
      </c>
      <c r="W132" s="85"/>
      <c r="X132" s="85">
        <f t="shared" si="8"/>
        <v>0</v>
      </c>
      <c r="Y132" s="21">
        <f t="shared" si="9"/>
        <v>4.3779616738217758E-2</v>
      </c>
      <c r="AA132" s="55">
        <f t="shared" si="10"/>
        <v>129789.54620632243</v>
      </c>
      <c r="AB132" s="55">
        <f t="shared" si="11"/>
        <v>-464.89967659115791</v>
      </c>
      <c r="AC132" s="55">
        <f t="shared" si="13"/>
        <v>2964611.2934794524</v>
      </c>
    </row>
    <row r="133" spans="1:29">
      <c r="A133" s="1" t="s">
        <v>26</v>
      </c>
      <c r="B133" s="16" t="str">
        <f>INDEX(emprunts!C:C,MATCH($A133,emprunts!A:A,0))</f>
        <v>CDC</v>
      </c>
      <c r="C133" s="18">
        <f>INDEX(emprunts!M:M,MATCH($A133,emprunts!$A:$A,0))</f>
        <v>37281</v>
      </c>
      <c r="D133" s="18">
        <f>IF(INDEX(emprunts!O:O,MATCH($A133,emprunts!$A:$A,0))="",INDEX(emprunts!N:N,MATCH($A133,emprunts!$A:$A,0)),MIN(INDEX(emprunts!N:N,MATCH($A133,emprunts!$A:$A,0)),INDEX(emprunts!O:O,MATCH($A133,emprunts!$A:$A,0))))</f>
        <v>39838</v>
      </c>
      <c r="E133" s="52">
        <f>INDEX(emprunts!I:I,MATCH($A133,emprunts!$A:$A,0))</f>
        <v>7</v>
      </c>
      <c r="F133" s="18" t="str">
        <f>INDEX(emprunts!P:P,MATCH($A133,emprunts!$A:$A,0))</f>
        <v>Fixe</v>
      </c>
      <c r="G133" s="126" t="str">
        <f>IF(LEFT(A133,3)="vx_","vx",INDEX(Categorie,MATCH($A133,emprunts!$A$2:$A$149,0)))</f>
        <v>Non_st</v>
      </c>
      <c r="H133" s="6">
        <v>2002</v>
      </c>
      <c r="I133">
        <f t="shared" si="7"/>
        <v>1</v>
      </c>
      <c r="J133" s="4">
        <v>0</v>
      </c>
      <c r="K133" t="s">
        <v>155</v>
      </c>
      <c r="L133" s="5">
        <v>37646</v>
      </c>
      <c r="M133" s="5">
        <v>37646</v>
      </c>
      <c r="N133" s="14">
        <v>2448624.3199999998</v>
      </c>
      <c r="O133" s="14">
        <v>2448624.3199999998</v>
      </c>
      <c r="P133" s="4">
        <v>5.2499999999999998E-2</v>
      </c>
      <c r="Q133" s="14">
        <v>0</v>
      </c>
      <c r="R133" s="14">
        <v>0</v>
      </c>
      <c r="T133" s="14">
        <v>123981.71</v>
      </c>
      <c r="U133" s="14">
        <v>0</v>
      </c>
      <c r="V133" s="14">
        <f t="shared" si="12"/>
        <v>0</v>
      </c>
      <c r="W133" s="85"/>
      <c r="X133" s="85">
        <f t="shared" si="8"/>
        <v>0</v>
      </c>
      <c r="Y133" s="21">
        <f t="shared" si="9"/>
        <v>5.4356240407627085E-2</v>
      </c>
      <c r="Z133" s="1" t="s">
        <v>159</v>
      </c>
      <c r="AA133" s="55">
        <f t="shared" si="10"/>
        <v>123981.71</v>
      </c>
      <c r="AB133" s="55" t="str">
        <f t="shared" si="11"/>
        <v/>
      </c>
      <c r="AC133" s="55">
        <f t="shared" si="13"/>
        <v>2280910.3254794516</v>
      </c>
    </row>
    <row r="134" spans="1:29">
      <c r="A134" s="1" t="s">
        <v>28</v>
      </c>
      <c r="B134" s="16" t="str">
        <f>INDEX(emprunts!C:C,MATCH($A134,emprunts!A:A,0))</f>
        <v>CDC</v>
      </c>
      <c r="C134" s="18">
        <f>INDEX(emprunts!M:M,MATCH($A134,emprunts!$A:$A,0))</f>
        <v>37288</v>
      </c>
      <c r="D134" s="18">
        <f>IF(INDEX(emprunts!O:O,MATCH($A134,emprunts!$A:$A,0))="",INDEX(emprunts!N:N,MATCH($A134,emprunts!$A:$A,0)),MIN(INDEX(emprunts!N:N,MATCH($A134,emprunts!$A:$A,0)),INDEX(emprunts!O:O,MATCH($A134,emprunts!$A:$A,0))))</f>
        <v>44593</v>
      </c>
      <c r="E134" s="52">
        <f>INDEX(emprunts!I:I,MATCH($A134,emprunts!$A:$A,0))</f>
        <v>20</v>
      </c>
      <c r="F134" s="18" t="str">
        <f>INDEX(emprunts!P:P,MATCH($A134,emprunts!$A:$A,0))</f>
        <v>Livret A</v>
      </c>
      <c r="G134" s="126" t="str">
        <f>IF(LEFT(A134,3)="vx_","vx",INDEX(Categorie,MATCH($A134,emprunts!$A$2:$A$149,0)))</f>
        <v>Livr_A</v>
      </c>
      <c r="H134" s="6">
        <v>2002</v>
      </c>
      <c r="I134">
        <f t="shared" si="7"/>
        <v>1</v>
      </c>
      <c r="J134" s="4">
        <v>0</v>
      </c>
      <c r="K134" t="s">
        <v>155</v>
      </c>
      <c r="L134" s="5">
        <v>37653</v>
      </c>
      <c r="M134" s="5">
        <v>37653</v>
      </c>
      <c r="N134" s="14">
        <v>2137796</v>
      </c>
      <c r="O134" s="14">
        <v>2137796</v>
      </c>
      <c r="P134" s="4">
        <v>0.03</v>
      </c>
      <c r="Q134" s="14">
        <v>0</v>
      </c>
      <c r="R134" s="14">
        <v>0</v>
      </c>
      <c r="T134" s="14">
        <v>56533.07</v>
      </c>
      <c r="U134" s="14">
        <v>0</v>
      </c>
      <c r="V134" s="14">
        <f t="shared" si="12"/>
        <v>0</v>
      </c>
      <c r="W134" s="85"/>
      <c r="X134" s="85">
        <f t="shared" si="8"/>
        <v>0</v>
      </c>
      <c r="Y134" s="21">
        <f t="shared" si="9"/>
        <v>2.8985776625705787E-2</v>
      </c>
      <c r="AA134" s="55">
        <f t="shared" si="10"/>
        <v>56533.07</v>
      </c>
      <c r="AB134" s="55" t="str">
        <f t="shared" si="11"/>
        <v/>
      </c>
      <c r="AC134" s="55">
        <f t="shared" si="13"/>
        <v>1950372.7890410959</v>
      </c>
    </row>
    <row r="135" spans="1:29">
      <c r="A135" s="1" t="s">
        <v>31</v>
      </c>
      <c r="B135" s="16" t="str">
        <f>INDEX(emprunts!C:C,MATCH($A135,emprunts!A:A,0))</f>
        <v>CDC</v>
      </c>
      <c r="C135" s="18">
        <f>INDEX(emprunts!M:M,MATCH($A135,emprunts!$A:$A,0))</f>
        <v>37347</v>
      </c>
      <c r="D135" s="18">
        <f>IF(INDEX(emprunts!O:O,MATCH($A135,emprunts!$A:$A,0))="",INDEX(emprunts!N:N,MATCH($A135,emprunts!$A:$A,0)),MIN(INDEX(emprunts!N:N,MATCH($A135,emprunts!$A:$A,0)),INDEX(emprunts!O:O,MATCH($A135,emprunts!$A:$A,0))))</f>
        <v>44652</v>
      </c>
      <c r="E135" s="52">
        <f>INDEX(emprunts!I:I,MATCH($A135,emprunts!$A:$A,0))</f>
        <v>20</v>
      </c>
      <c r="F135" s="18" t="str">
        <f>INDEX(emprunts!P:P,MATCH($A135,emprunts!$A:$A,0))</f>
        <v>Livret A</v>
      </c>
      <c r="G135" s="126" t="str">
        <f>IF(LEFT(A135,3)="vx_","vx",INDEX(Categorie,MATCH($A135,emprunts!$A$2:$A$149,0)))</f>
        <v>Livr_A</v>
      </c>
      <c r="H135" s="6">
        <v>2002</v>
      </c>
      <c r="I135">
        <f t="shared" si="7"/>
        <v>1</v>
      </c>
      <c r="J135" s="4">
        <v>0</v>
      </c>
      <c r="K135" t="s">
        <v>155</v>
      </c>
      <c r="L135" s="5">
        <v>37712</v>
      </c>
      <c r="M135" s="5">
        <v>37712</v>
      </c>
      <c r="N135" s="14">
        <v>4722409</v>
      </c>
      <c r="O135" s="14">
        <v>4722409</v>
      </c>
      <c r="P135" s="4">
        <v>4.2000000000000003E-2</v>
      </c>
      <c r="Q135" s="14">
        <v>0</v>
      </c>
      <c r="R135" s="14">
        <v>0</v>
      </c>
      <c r="T135" s="14">
        <v>158282.18</v>
      </c>
      <c r="U135" s="14">
        <v>0</v>
      </c>
      <c r="V135" s="14">
        <f t="shared" si="12"/>
        <v>0</v>
      </c>
      <c r="W135" s="85"/>
      <c r="X135" s="85">
        <f t="shared" si="8"/>
        <v>0</v>
      </c>
      <c r="Y135" s="21">
        <f t="shared" si="9"/>
        <v>4.4648896203203281E-2</v>
      </c>
      <c r="AA135" s="55">
        <f t="shared" si="10"/>
        <v>158282.18</v>
      </c>
      <c r="AB135" s="55" t="str">
        <f t="shared" si="11"/>
        <v/>
      </c>
      <c r="AC135" s="55">
        <f t="shared" si="13"/>
        <v>3545041.2767123287</v>
      </c>
    </row>
    <row r="136" spans="1:29">
      <c r="A136" s="1" t="s">
        <v>33</v>
      </c>
      <c r="B136" s="16" t="str">
        <f>INDEX(emprunts!C:C,MATCH($A136,emprunts!A:A,0))</f>
        <v>Crédit Agricole</v>
      </c>
      <c r="C136" s="18">
        <f>INDEX(emprunts!M:M,MATCH($A136,emprunts!$A:$A,0))</f>
        <v>37361</v>
      </c>
      <c r="D136" s="18">
        <f>IF(INDEX(emprunts!O:O,MATCH($A136,emprunts!$A:$A,0))="",INDEX(emprunts!N:N,MATCH($A136,emprunts!$A:$A,0)),MIN(INDEX(emprunts!N:N,MATCH($A136,emprunts!$A:$A,0)),INDEX(emprunts!O:O,MATCH($A136,emprunts!$A:$A,0))))</f>
        <v>42843</v>
      </c>
      <c r="E136" s="52">
        <f>INDEX(emprunts!I:I,MATCH($A136,emprunts!$A:$A,0))</f>
        <v>15</v>
      </c>
      <c r="F136" s="18" t="str">
        <f>INDEX(emprunts!P:P,MATCH($A136,emprunts!$A:$A,0))</f>
        <v>Barrière hors zone EUR</v>
      </c>
      <c r="G136" s="126" t="str">
        <f>IF(LEFT(A136,3)="vx_","vx",INDEX(Categorie,MATCH($A136,emprunts!$A$2:$A$149,0)))</f>
        <v>Struct</v>
      </c>
      <c r="H136" s="6">
        <v>2002</v>
      </c>
      <c r="I136">
        <f t="shared" si="7"/>
        <v>1</v>
      </c>
      <c r="J136" s="4">
        <v>0</v>
      </c>
      <c r="K136" s="5" t="s">
        <v>155</v>
      </c>
      <c r="L136" s="5">
        <v>37726</v>
      </c>
      <c r="M136" s="5">
        <v>37726</v>
      </c>
      <c r="N136" s="14">
        <v>13097112.84</v>
      </c>
      <c r="O136" s="14">
        <v>13097112.84</v>
      </c>
      <c r="P136" s="4">
        <v>3.5000000000000003E-2</v>
      </c>
      <c r="Q136" s="14">
        <v>211666.26</v>
      </c>
      <c r="R136" s="14">
        <v>0</v>
      </c>
      <c r="T136" s="14">
        <v>0</v>
      </c>
      <c r="U136" s="14">
        <f>SUM(Q136:S136)</f>
        <v>211666.26</v>
      </c>
      <c r="V136" s="14">
        <f t="shared" si="12"/>
        <v>0</v>
      </c>
      <c r="W136" s="85"/>
      <c r="X136" s="85">
        <f t="shared" si="8"/>
        <v>0</v>
      </c>
      <c r="Y136" s="21">
        <f t="shared" si="9"/>
        <v>2.2687967083285819E-2</v>
      </c>
      <c r="Z136" t="s">
        <v>542</v>
      </c>
      <c r="AA136" s="55">
        <f t="shared" si="10"/>
        <v>211666.26</v>
      </c>
      <c r="AB136" s="55" t="str">
        <f t="shared" si="11"/>
        <v/>
      </c>
      <c r="AC136" s="55">
        <f t="shared" si="13"/>
        <v>9329450.2421917804</v>
      </c>
    </row>
    <row r="137" spans="1:29">
      <c r="A137" s="1" t="s">
        <v>38</v>
      </c>
      <c r="B137" s="16" t="str">
        <f>INDEX(emprunts!C:C,MATCH($A137,emprunts!A:A,0))</f>
        <v>Dexia CL</v>
      </c>
      <c r="C137" s="18">
        <f>INDEX(emprunts!M:M,MATCH($A137,emprunts!$A:$A,0))</f>
        <v>37377</v>
      </c>
      <c r="D137" s="18">
        <f>IF(INDEX(emprunts!O:O,MATCH($A137,emprunts!$A:$A,0))="",INDEX(emprunts!N:N,MATCH($A137,emprunts!$A:$A,0)),MIN(INDEX(emprunts!N:N,MATCH($A137,emprunts!$A:$A,0)),INDEX(emprunts!O:O,MATCH($A137,emprunts!$A:$A,0))))</f>
        <v>38087</v>
      </c>
      <c r="E137" s="52">
        <f>INDEX(emprunts!I:I,MATCH($A137,emprunts!$A:$A,0))</f>
        <v>17</v>
      </c>
      <c r="F137" s="18" t="str">
        <f>INDEX(emprunts!P:P,MATCH($A137,emprunts!$A:$A,0))</f>
        <v>Barrière</v>
      </c>
      <c r="G137" s="126" t="str">
        <f>IF(LEFT(A137,3)="vx_","vx",INDEX(Categorie,MATCH($A137,emprunts!$A$2:$A$149,0)))</f>
        <v>Struct</v>
      </c>
      <c r="H137" s="6">
        <v>2002</v>
      </c>
      <c r="I137">
        <f t="shared" si="7"/>
        <v>1</v>
      </c>
      <c r="J137" s="4">
        <v>0</v>
      </c>
      <c r="K137" t="s">
        <v>154</v>
      </c>
      <c r="L137" s="5">
        <v>37438</v>
      </c>
      <c r="M137" s="5">
        <v>37803</v>
      </c>
      <c r="N137" s="14">
        <v>13276172.539999999</v>
      </c>
      <c r="O137" s="14">
        <v>13276172.539999999</v>
      </c>
      <c r="P137" s="4">
        <v>5.0700000000000002E-2</v>
      </c>
      <c r="Q137" s="14">
        <v>275480.58</v>
      </c>
      <c r="R137" s="14">
        <v>0</v>
      </c>
      <c r="T137" s="14">
        <v>163491.74</v>
      </c>
      <c r="U137" s="14">
        <v>275480.58</v>
      </c>
      <c r="V137" s="14">
        <f t="shared" si="12"/>
        <v>0</v>
      </c>
      <c r="W137" s="85"/>
      <c r="X137" s="85">
        <f t="shared" si="8"/>
        <v>0</v>
      </c>
      <c r="Y137" s="21">
        <f t="shared" si="9"/>
        <v>4.9461500378689266E-2</v>
      </c>
      <c r="AA137" s="55">
        <f t="shared" si="10"/>
        <v>438972.32</v>
      </c>
      <c r="AB137" s="55" t="str">
        <f t="shared" si="11"/>
        <v/>
      </c>
      <c r="AC137" s="55">
        <f t="shared" si="13"/>
        <v>8875030.4103013705</v>
      </c>
    </row>
    <row r="138" spans="1:29">
      <c r="A138" s="1" t="s">
        <v>43</v>
      </c>
      <c r="B138" s="16" t="str">
        <f>INDEX(emprunts!C:C,MATCH($A138,emprunts!A:A,0))</f>
        <v>Dexia CL</v>
      </c>
      <c r="C138" s="18">
        <f>INDEX(emprunts!M:M,MATCH($A138,emprunts!$A:$A,0))</f>
        <v>37377</v>
      </c>
      <c r="D138" s="18">
        <f>IF(INDEX(emprunts!O:O,MATCH($A138,emprunts!$A:$A,0))="",INDEX(emprunts!N:N,MATCH($A138,emprunts!$A:$A,0)),MIN(INDEX(emprunts!N:N,MATCH($A138,emprunts!$A:$A,0)),INDEX(emprunts!O:O,MATCH($A138,emprunts!$A:$A,0))))</f>
        <v>38534</v>
      </c>
      <c r="E138" s="52">
        <f>INDEX(emprunts!I:I,MATCH($A138,emprunts!$A:$A,0))</f>
        <v>19.25</v>
      </c>
      <c r="F138" s="18" t="str">
        <f>INDEX(emprunts!P:P,MATCH($A138,emprunts!$A:$A,0))</f>
        <v>Barrière hors zone EUR</v>
      </c>
      <c r="G138" s="126" t="str">
        <f>IF(LEFT(A138,3)="vx_","vx",INDEX(Categorie,MATCH($A138,emprunts!$A$2:$A$149,0)))</f>
        <v>Struct</v>
      </c>
      <c r="H138" s="6">
        <v>2002</v>
      </c>
      <c r="I138">
        <f t="shared" si="7"/>
        <v>1</v>
      </c>
      <c r="J138" s="4">
        <v>0</v>
      </c>
      <c r="K138" t="s">
        <v>154</v>
      </c>
      <c r="L138" s="5">
        <v>37469</v>
      </c>
      <c r="M138" s="5">
        <v>37834</v>
      </c>
      <c r="N138" s="14">
        <v>4603414.62</v>
      </c>
      <c r="O138" s="14">
        <v>4603414.62</v>
      </c>
      <c r="P138" s="4">
        <v>4.9200000000000001E-2</v>
      </c>
      <c r="Q138" s="14">
        <v>113642.96</v>
      </c>
      <c r="R138" s="14">
        <v>0</v>
      </c>
      <c r="T138" s="14">
        <v>37057.49</v>
      </c>
      <c r="U138" s="14">
        <v>113642.96</v>
      </c>
      <c r="V138" s="14">
        <f t="shared" si="12"/>
        <v>0</v>
      </c>
      <c r="W138" s="85"/>
      <c r="X138" s="85">
        <f t="shared" si="8"/>
        <v>0</v>
      </c>
      <c r="Y138" s="21">
        <f t="shared" si="9"/>
        <v>4.8970833351725779E-2</v>
      </c>
      <c r="AA138" s="55">
        <f t="shared" si="10"/>
        <v>150700.45000000001</v>
      </c>
      <c r="AB138" s="55" t="str">
        <f t="shared" si="11"/>
        <v/>
      </c>
      <c r="AC138" s="55">
        <f t="shared" si="13"/>
        <v>3077351.1432328769</v>
      </c>
    </row>
    <row r="139" spans="1:29">
      <c r="A139" s="1" t="s">
        <v>46</v>
      </c>
      <c r="B139" s="16" t="str">
        <f>INDEX(emprunts!C:C,MATCH($A139,emprunts!A:A,0))</f>
        <v>Dexia CL</v>
      </c>
      <c r="C139" s="18">
        <f>INDEX(emprunts!M:M,MATCH($A139,emprunts!$A:$A,0))</f>
        <v>37377</v>
      </c>
      <c r="D139" s="18">
        <f>IF(INDEX(emprunts!O:O,MATCH($A139,emprunts!$A:$A,0))="",INDEX(emprunts!N:N,MATCH($A139,emprunts!$A:$A,0)),MIN(INDEX(emprunts!N:N,MATCH($A139,emprunts!$A:$A,0)),INDEX(emprunts!O:O,MATCH($A139,emprunts!$A:$A,0))))</f>
        <v>38087</v>
      </c>
      <c r="E139" s="52">
        <f>INDEX(emprunts!I:I,MATCH($A139,emprunts!$A:$A,0))</f>
        <v>19.25</v>
      </c>
      <c r="F139" s="18" t="str">
        <f>INDEX(emprunts!P:P,MATCH($A139,emprunts!$A:$A,0))</f>
        <v>Barrière hors zone EUR</v>
      </c>
      <c r="G139" s="126" t="str">
        <f>IF(LEFT(A139,3)="vx_","vx",INDEX(Categorie,MATCH($A139,emprunts!$A$2:$A$149,0)))</f>
        <v>Struct</v>
      </c>
      <c r="H139" s="6">
        <v>2002</v>
      </c>
      <c r="I139">
        <f t="shared" si="7"/>
        <v>1</v>
      </c>
      <c r="J139" s="4">
        <v>0</v>
      </c>
      <c r="K139" t="s">
        <v>154</v>
      </c>
      <c r="L139" s="5">
        <v>37469</v>
      </c>
      <c r="M139" s="5">
        <v>37834</v>
      </c>
      <c r="N139" s="14">
        <v>12864467.300000001</v>
      </c>
      <c r="O139" s="14">
        <v>12864467.300000001</v>
      </c>
      <c r="P139" s="4">
        <v>4.9200000000000001E-2</v>
      </c>
      <c r="Q139" s="14">
        <v>317580.82</v>
      </c>
      <c r="R139" s="14">
        <v>0</v>
      </c>
      <c r="T139" s="14">
        <v>103558.96</v>
      </c>
      <c r="U139" s="14">
        <v>317580.82</v>
      </c>
      <c r="V139" s="14">
        <f t="shared" si="12"/>
        <v>0</v>
      </c>
      <c r="W139" s="85"/>
      <c r="X139" s="85">
        <f t="shared" si="8"/>
        <v>0</v>
      </c>
      <c r="Y139" s="21">
        <f t="shared" si="9"/>
        <v>4.8970833583997828E-2</v>
      </c>
      <c r="AA139" s="55">
        <f t="shared" si="10"/>
        <v>421139.78</v>
      </c>
      <c r="AB139" s="55" t="str">
        <f t="shared" si="11"/>
        <v/>
      </c>
      <c r="AC139" s="55">
        <f t="shared" si="13"/>
        <v>8599808.2772602756</v>
      </c>
    </row>
    <row r="140" spans="1:29">
      <c r="A140" s="1" t="s">
        <v>47</v>
      </c>
      <c r="B140" s="16" t="str">
        <f>INDEX(emprunts!C:C,MATCH($A140,emprunts!A:A,0))</f>
        <v>Dexia CL</v>
      </c>
      <c r="C140" s="18">
        <f>INDEX(emprunts!M:M,MATCH($A140,emprunts!$A:$A,0))</f>
        <v>37377</v>
      </c>
      <c r="D140" s="18">
        <f>IF(INDEX(emprunts!O:O,MATCH($A140,emprunts!$A:$A,0))="",INDEX(emprunts!N:N,MATCH($A140,emprunts!$A:$A,0)),MIN(INDEX(emprunts!N:N,MATCH($A140,emprunts!$A:$A,0)),INDEX(emprunts!O:O,MATCH($A140,emprunts!$A:$A,0))))</f>
        <v>38153</v>
      </c>
      <c r="E140" s="52">
        <f>INDEX(emprunts!I:I,MATCH($A140,emprunts!$A:$A,0))</f>
        <v>12</v>
      </c>
      <c r="F140" s="18" t="str">
        <f>INDEX(emprunts!P:P,MATCH($A140,emprunts!$A:$A,0))</f>
        <v>Change</v>
      </c>
      <c r="G140" s="126" t="str">
        <f>IF(LEFT(A140,3)="vx_","vx",INDEX(Categorie,MATCH($A140,emprunts!$A$2:$A$149,0)))</f>
        <v>Struct</v>
      </c>
      <c r="H140" s="6">
        <v>2002</v>
      </c>
      <c r="I140">
        <f t="shared" si="7"/>
        <v>1</v>
      </c>
      <c r="J140" s="4">
        <v>0</v>
      </c>
      <c r="K140" t="s">
        <v>155</v>
      </c>
      <c r="L140" s="5">
        <v>37742</v>
      </c>
      <c r="M140" s="5">
        <v>37742</v>
      </c>
      <c r="N140" s="14">
        <v>9827176.1899999995</v>
      </c>
      <c r="O140" s="14">
        <v>9827176.1899999995</v>
      </c>
      <c r="P140" s="4">
        <v>5.2600000000000001E-2</v>
      </c>
      <c r="Q140" s="14">
        <v>0</v>
      </c>
      <c r="R140" s="14">
        <v>0</v>
      </c>
      <c r="T140" s="14">
        <v>245550.44</v>
      </c>
      <c r="U140" s="14">
        <v>0</v>
      </c>
      <c r="V140" s="14">
        <f t="shared" si="12"/>
        <v>0</v>
      </c>
      <c r="W140" s="85"/>
      <c r="X140" s="85">
        <f t="shared" si="8"/>
        <v>0</v>
      </c>
      <c r="Y140" s="21">
        <f t="shared" si="9"/>
        <v>3.7377909852830765E-2</v>
      </c>
      <c r="AA140" s="55">
        <f t="shared" si="10"/>
        <v>245550.44</v>
      </c>
      <c r="AB140" s="55" t="str">
        <f t="shared" si="11"/>
        <v/>
      </c>
      <c r="AC140" s="55">
        <f t="shared" si="13"/>
        <v>6569399.9735890413</v>
      </c>
    </row>
    <row r="141" spans="1:29">
      <c r="A141" s="1" t="s">
        <v>51</v>
      </c>
      <c r="B141" s="16" t="str">
        <f>INDEX(emprunts!C:C,MATCH($A141,emprunts!A:A,0))</f>
        <v>Dexia CL</v>
      </c>
      <c r="C141" s="18">
        <f>INDEX(emprunts!M:M,MATCH($A141,emprunts!$A:$A,0))</f>
        <v>37377</v>
      </c>
      <c r="D141" s="18">
        <f>IF(INDEX(emprunts!O:O,MATCH($A141,emprunts!$A:$A,0))="",INDEX(emprunts!N:N,MATCH($A141,emprunts!$A:$A,0)),MIN(INDEX(emprunts!N:N,MATCH($A141,emprunts!$A:$A,0)),INDEX(emprunts!O:O,MATCH($A141,emprunts!$A:$A,0))))</f>
        <v>38193</v>
      </c>
      <c r="E141" s="52">
        <f>INDEX(emprunts!I:I,MATCH($A141,emprunts!$A:$A,0))</f>
        <v>8</v>
      </c>
      <c r="F141" s="18" t="str">
        <f>INDEX(emprunts!P:P,MATCH($A141,emprunts!$A:$A,0))</f>
        <v>Variable hors zone EUR</v>
      </c>
      <c r="G141" s="126" t="str">
        <f>IF(LEFT(A141,3)="vx_","vx",INDEX(Categorie,MATCH($A141,emprunts!$A$2:$A$149,0)))</f>
        <v>Struct</v>
      </c>
      <c r="H141" s="6">
        <v>2002</v>
      </c>
      <c r="I141">
        <f t="shared" si="7"/>
        <v>1</v>
      </c>
      <c r="J141" s="4">
        <v>0</v>
      </c>
      <c r="K141" t="s">
        <v>155</v>
      </c>
      <c r="L141" s="5">
        <v>37773</v>
      </c>
      <c r="M141" s="5">
        <v>37773</v>
      </c>
      <c r="N141" s="14">
        <v>5216728.38</v>
      </c>
      <c r="O141" s="14">
        <v>5216728.38</v>
      </c>
      <c r="P141" s="4">
        <v>2.7099999999999999E-2</v>
      </c>
      <c r="Q141" s="14">
        <v>0</v>
      </c>
      <c r="R141" s="14">
        <v>0</v>
      </c>
      <c r="T141" s="14">
        <v>82939.649999999994</v>
      </c>
      <c r="U141" s="14">
        <v>0</v>
      </c>
      <c r="V141" s="14">
        <f t="shared" si="12"/>
        <v>0</v>
      </c>
      <c r="W141" s="85"/>
      <c r="X141" s="85">
        <f t="shared" si="8"/>
        <v>0</v>
      </c>
      <c r="Y141" s="21">
        <f t="shared" si="9"/>
        <v>2.3783020576133452E-2</v>
      </c>
      <c r="AA141" s="55">
        <f t="shared" si="10"/>
        <v>82939.649999999994</v>
      </c>
      <c r="AB141" s="55" t="str">
        <f t="shared" si="11"/>
        <v/>
      </c>
      <c r="AC141" s="55">
        <f t="shared" si="13"/>
        <v>3487347.1910136989</v>
      </c>
    </row>
    <row r="142" spans="1:29">
      <c r="A142" s="1" t="s">
        <v>55</v>
      </c>
      <c r="B142" s="16" t="str">
        <f>INDEX(emprunts!C:C,MATCH($A142,emprunts!A:A,0))</f>
        <v>CDC</v>
      </c>
      <c r="C142" s="18">
        <f>INDEX(emprunts!M:M,MATCH($A142,emprunts!$A:$A,0))</f>
        <v>37530</v>
      </c>
      <c r="D142" s="18">
        <f>IF(INDEX(emprunts!O:O,MATCH($A142,emprunts!$A:$A,0))="",INDEX(emprunts!N:N,MATCH($A142,emprunts!$A:$A,0)),MIN(INDEX(emprunts!N:N,MATCH($A142,emprunts!$A:$A,0)),INDEX(emprunts!O:O,MATCH($A142,emprunts!$A:$A,0))))</f>
        <v>37530</v>
      </c>
      <c r="E142" s="52">
        <f>INDEX(emprunts!I:I,MATCH($A142,emprunts!$A:$A,0))</f>
        <v>20</v>
      </c>
      <c r="F142" s="18" t="str">
        <f>INDEX(emprunts!P:P,MATCH($A142,emprunts!$A:$A,0))</f>
        <v>Livret A</v>
      </c>
      <c r="G142" s="126" t="str">
        <f>IF(LEFT(A142,3)="vx_","vx",INDEX(Categorie,MATCH($A142,emprunts!$A$2:$A$149,0)))</f>
        <v>Livr_A</v>
      </c>
      <c r="H142" s="6">
        <v>2002</v>
      </c>
      <c r="I142">
        <f t="shared" si="7"/>
        <v>1</v>
      </c>
      <c r="J142" s="4">
        <v>0</v>
      </c>
      <c r="K142" t="s">
        <v>155</v>
      </c>
      <c r="L142" s="5">
        <v>37888</v>
      </c>
      <c r="M142" s="5">
        <v>37888</v>
      </c>
      <c r="N142" s="14">
        <v>1593000</v>
      </c>
      <c r="O142" s="14">
        <v>1593000</v>
      </c>
      <c r="P142" s="4">
        <v>3.2500000000000001E-2</v>
      </c>
      <c r="Q142" s="14">
        <v>0</v>
      </c>
      <c r="R142" s="14">
        <v>0</v>
      </c>
      <c r="T142" s="14">
        <v>13900.56</v>
      </c>
      <c r="U142" s="14">
        <v>0</v>
      </c>
      <c r="V142" s="14">
        <f t="shared" si="12"/>
        <v>0</v>
      </c>
      <c r="W142" s="85"/>
      <c r="X142" s="85">
        <f t="shared" si="8"/>
        <v>0</v>
      </c>
      <c r="Y142" s="21" t="e">
        <f t="shared" si="9"/>
        <v>#DIV/0!</v>
      </c>
      <c r="AA142" s="55">
        <f t="shared" si="10"/>
        <v>13900.56</v>
      </c>
      <c r="AB142" s="55" t="str">
        <f t="shared" si="11"/>
        <v/>
      </c>
      <c r="AC142" s="55">
        <f t="shared" si="13"/>
        <v>0</v>
      </c>
    </row>
    <row r="143" spans="1:29">
      <c r="A143" s="1" t="s">
        <v>57</v>
      </c>
      <c r="B143" s="16" t="str">
        <f>INDEX(emprunts!C:C,MATCH($A143,emprunts!A:A,0))</f>
        <v>Dexia CL</v>
      </c>
      <c r="C143" s="18">
        <f>INDEX(emprunts!M:M,MATCH($A143,emprunts!$A:$A,0))</f>
        <v>37533</v>
      </c>
      <c r="D143" s="18">
        <f>IF(INDEX(emprunts!O:O,MATCH($A143,emprunts!$A:$A,0))="",INDEX(emprunts!N:N,MATCH($A143,emprunts!$A:$A,0)),MIN(INDEX(emprunts!N:N,MATCH($A143,emprunts!$A:$A,0)),INDEX(emprunts!O:O,MATCH($A143,emprunts!$A:$A,0))))</f>
        <v>38193</v>
      </c>
      <c r="E143" s="52">
        <f>INDEX(emprunts!I:I,MATCH($A143,emprunts!$A:$A,0))</f>
        <v>20</v>
      </c>
      <c r="F143" s="18" t="str">
        <f>INDEX(emprunts!P:P,MATCH($A143,emprunts!$A:$A,0))</f>
        <v>Fixe</v>
      </c>
      <c r="G143" s="126" t="str">
        <f>IF(LEFT(A143,3)="vx_","vx",INDEX(Categorie,MATCH($A143,emprunts!$A$2:$A$149,0)))</f>
        <v>Non_st</v>
      </c>
      <c r="H143" s="6">
        <v>2002</v>
      </c>
      <c r="I143">
        <f t="shared" si="7"/>
        <v>1</v>
      </c>
      <c r="J143" s="4">
        <v>0</v>
      </c>
      <c r="K143" t="s">
        <v>155</v>
      </c>
      <c r="L143" s="5">
        <v>37897</v>
      </c>
      <c r="M143" s="5">
        <v>37897</v>
      </c>
      <c r="N143" s="14">
        <v>3000000</v>
      </c>
      <c r="O143" s="14">
        <v>3000000</v>
      </c>
      <c r="P143" s="4">
        <v>4.7500000000000001E-2</v>
      </c>
      <c r="Q143" s="14">
        <v>0</v>
      </c>
      <c r="R143" s="14">
        <v>0</v>
      </c>
      <c r="T143" s="14">
        <v>34746.58</v>
      </c>
      <c r="U143" s="14">
        <v>0</v>
      </c>
      <c r="V143" s="14">
        <f t="shared" si="12"/>
        <v>0</v>
      </c>
      <c r="W143" s="85"/>
      <c r="X143" s="85">
        <f t="shared" si="8"/>
        <v>0</v>
      </c>
      <c r="Y143" s="21">
        <f t="shared" si="9"/>
        <v>4.8039779166666671E-2</v>
      </c>
      <c r="AA143" s="55">
        <f t="shared" si="10"/>
        <v>34746.58</v>
      </c>
      <c r="AB143" s="55" t="str">
        <f t="shared" si="11"/>
        <v/>
      </c>
      <c r="AC143" s="55">
        <f t="shared" si="13"/>
        <v>723287.67123287672</v>
      </c>
    </row>
    <row r="144" spans="1:29">
      <c r="A144" s="1" t="s">
        <v>59</v>
      </c>
      <c r="B144" s="16" t="str">
        <f>INDEX(emprunts!C:C,MATCH($A144,emprunts!A:A,0))</f>
        <v>CDC</v>
      </c>
      <c r="C144" s="18">
        <f>INDEX(emprunts!M:M,MATCH($A144,emprunts!$A:$A,0))</f>
        <v>37621</v>
      </c>
      <c r="D144" s="18">
        <f>IF(INDEX(emprunts!O:O,MATCH($A144,emprunts!$A:$A,0))="",INDEX(emprunts!N:N,MATCH($A144,emprunts!$A:$A,0)),MIN(INDEX(emprunts!N:N,MATCH($A144,emprunts!$A:$A,0)),INDEX(emprunts!O:O,MATCH($A144,emprunts!$A:$A,0))))</f>
        <v>44927</v>
      </c>
      <c r="E144" s="52">
        <f>INDEX(emprunts!I:I,MATCH($A144,emprunts!$A:$A,0))</f>
        <v>20</v>
      </c>
      <c r="F144" s="18" t="str">
        <f>INDEX(emprunts!P:P,MATCH($A144,emprunts!$A:$A,0))</f>
        <v>Livret A</v>
      </c>
      <c r="G144" s="126" t="str">
        <f>IF(LEFT(A144,3)="vx_","vx",INDEX(Categorie,MATCH($A144,emprunts!$A$2:$A$149,0)))</f>
        <v>Livr_A</v>
      </c>
      <c r="H144" s="6">
        <v>2002</v>
      </c>
      <c r="I144">
        <f t="shared" si="7"/>
        <v>0</v>
      </c>
      <c r="J144" s="4">
        <v>0</v>
      </c>
      <c r="K144" t="s">
        <v>155</v>
      </c>
      <c r="L144" s="5">
        <v>37987</v>
      </c>
      <c r="M144" s="5">
        <v>37987</v>
      </c>
      <c r="N144" s="14">
        <v>4190000</v>
      </c>
      <c r="O144" s="14">
        <v>4190000</v>
      </c>
      <c r="P144" s="4">
        <v>4.2000000000000003E-2</v>
      </c>
      <c r="Q144" s="14">
        <v>0</v>
      </c>
      <c r="R144" s="14">
        <v>0</v>
      </c>
      <c r="T144" s="14">
        <v>0</v>
      </c>
      <c r="U144" s="14">
        <v>0</v>
      </c>
      <c r="V144" s="14">
        <f t="shared" si="12"/>
        <v>0</v>
      </c>
      <c r="W144" s="85"/>
      <c r="X144" s="85">
        <f t="shared" si="8"/>
        <v>0</v>
      </c>
      <c r="Y144" s="21" t="str">
        <f t="shared" si="9"/>
        <v/>
      </c>
      <c r="AA144" s="55">
        <f t="shared" si="10"/>
        <v>0</v>
      </c>
      <c r="AB144" s="55" t="str">
        <f t="shared" si="11"/>
        <v/>
      </c>
      <c r="AC144" s="55">
        <f t="shared" si="13"/>
        <v>0</v>
      </c>
    </row>
    <row r="145" spans="1:29">
      <c r="A145" s="1" t="s">
        <v>540</v>
      </c>
      <c r="B145" s="16" t="str">
        <f>INDEX(emprunts!C:C,MATCH($A145,emprunts!A:A,0))</f>
        <v>Crédit Mutuel</v>
      </c>
      <c r="C145" s="18">
        <f>INDEX(emprunts!M:M,MATCH($A145,emprunts!$A:$A,0))</f>
        <v>36495</v>
      </c>
      <c r="D145" s="18">
        <f>IF(INDEX(emprunts!O:O,MATCH($A145,emprunts!$A:$A,0))="",INDEX(emprunts!N:N,MATCH($A145,emprunts!$A:$A,0)),MIN(INDEX(emprunts!N:N,MATCH($A145,emprunts!$A:$A,0)),INDEX(emprunts!O:O,MATCH($A145,emprunts!$A:$A,0))))</f>
        <v>41973</v>
      </c>
      <c r="E145" s="52">
        <f>INDEX(emprunts!I:I,MATCH($A145,emprunts!$A:$A,0))</f>
        <v>15</v>
      </c>
      <c r="F145" s="18" t="str">
        <f>INDEX(emprunts!P:P,MATCH($A145,emprunts!$A:$A,0))</f>
        <v>Fixe à phase</v>
      </c>
      <c r="G145" s="126" t="str">
        <f>IF(LEFT(A145,3)="vx_","vx",INDEX(Categorie,MATCH($A145,emprunts!$A$2:$A$149,0)))</f>
        <v>Non_st</v>
      </c>
      <c r="H145" s="6">
        <v>2003</v>
      </c>
      <c r="I145">
        <f t="shared" si="7"/>
        <v>1</v>
      </c>
      <c r="J145" s="4"/>
      <c r="K145" t="s">
        <v>155</v>
      </c>
      <c r="L145" s="5">
        <v>36860</v>
      </c>
      <c r="M145" s="5">
        <v>36860</v>
      </c>
      <c r="N145" s="14">
        <v>1524490.17</v>
      </c>
      <c r="O145" s="14">
        <v>1379254</v>
      </c>
      <c r="P145" s="4">
        <v>5.5399999999999998E-2</v>
      </c>
      <c r="Q145" s="14">
        <v>76410.66</v>
      </c>
      <c r="R145" s="14">
        <v>0</v>
      </c>
      <c r="S145" s="14"/>
      <c r="T145" s="14">
        <v>6471.94</v>
      </c>
      <c r="U145" s="14">
        <f>SUM(Q145:S145)</f>
        <v>76410.66</v>
      </c>
      <c r="V145" s="14">
        <f t="shared" si="12"/>
        <v>0</v>
      </c>
      <c r="W145" s="85"/>
      <c r="X145" s="85">
        <f t="shared" si="8"/>
        <v>0</v>
      </c>
      <c r="Y145" s="21">
        <f t="shared" si="9"/>
        <v>5.5796643063473539E-2</v>
      </c>
      <c r="Z145" t="s">
        <v>619</v>
      </c>
      <c r="AA145" s="55">
        <f t="shared" si="10"/>
        <v>76746.900000000009</v>
      </c>
      <c r="AB145" s="55">
        <f t="shared" si="11"/>
        <v>0</v>
      </c>
      <c r="AC145" s="55">
        <f t="shared" si="13"/>
        <v>1375475.2219178083</v>
      </c>
    </row>
    <row r="146" spans="1:29">
      <c r="A146" s="1" t="s">
        <v>10</v>
      </c>
      <c r="B146" s="16" t="str">
        <f>INDEX(emprunts!C:C,MATCH($A146,emprunts!A:A,0))</f>
        <v>Crédit Mutuel</v>
      </c>
      <c r="C146" s="18">
        <f>INDEX(emprunts!M:M,MATCH($A146,emprunts!$A:$A,0))</f>
        <v>36950</v>
      </c>
      <c r="D146" s="18">
        <f>IF(INDEX(emprunts!O:O,MATCH($A146,emprunts!$A:$A,0))="",INDEX(emprunts!N:N,MATCH($A146,emprunts!$A:$A,0)),MIN(INDEX(emprunts!N:N,MATCH($A146,emprunts!$A:$A,0)),INDEX(emprunts!O:O,MATCH($A146,emprunts!$A:$A,0))))</f>
        <v>42429</v>
      </c>
      <c r="E146" s="52">
        <f>INDEX(emprunts!I:I,MATCH($A146,emprunts!$A:$A,0))</f>
        <v>15</v>
      </c>
      <c r="F146" s="18" t="str">
        <f>INDEX(emprunts!P:P,MATCH($A146,emprunts!$A:$A,0))</f>
        <v>Fixe</v>
      </c>
      <c r="G146" s="126" t="str">
        <f>IF(LEFT(A146,3)="vx_","vx",INDEX(Categorie,MATCH($A146,emprunts!$A$2:$A$149,0)))</f>
        <v>Non_st</v>
      </c>
      <c r="H146" s="6">
        <v>2003</v>
      </c>
      <c r="I146">
        <f t="shared" si="7"/>
        <v>1</v>
      </c>
      <c r="J146" s="4">
        <v>0</v>
      </c>
      <c r="K146" t="s">
        <v>155</v>
      </c>
      <c r="L146" s="5">
        <v>37315</v>
      </c>
      <c r="M146" s="5">
        <v>38045</v>
      </c>
      <c r="N146" s="14">
        <v>609796.06999999995</v>
      </c>
      <c r="O146" s="14">
        <v>609796.06999999995</v>
      </c>
      <c r="P146" s="4">
        <v>4.99E-2</v>
      </c>
      <c r="Q146" s="14">
        <v>30428.82</v>
      </c>
      <c r="R146" s="14">
        <v>0</v>
      </c>
      <c r="T146" s="14">
        <v>25510.19</v>
      </c>
      <c r="U146" s="14">
        <v>30428.82</v>
      </c>
      <c r="V146" s="14">
        <f t="shared" si="12"/>
        <v>0</v>
      </c>
      <c r="W146" s="85"/>
      <c r="X146" s="85">
        <f t="shared" si="8"/>
        <v>0</v>
      </c>
      <c r="Y146" s="21">
        <f t="shared" si="9"/>
        <v>5.283365934068799E-2</v>
      </c>
      <c r="AA146" s="55">
        <f t="shared" si="10"/>
        <v>32129.489999999994</v>
      </c>
      <c r="AB146" s="55">
        <f t="shared" si="11"/>
        <v>40653.069999999949</v>
      </c>
      <c r="AC146" s="55">
        <f t="shared" si="13"/>
        <v>608125.39583561639</v>
      </c>
    </row>
    <row r="147" spans="1:29">
      <c r="A147" s="1" t="s">
        <v>14</v>
      </c>
      <c r="B147" s="16" t="str">
        <f>INDEX(emprunts!C:C,MATCH($A147,emprunts!A:A,0))</f>
        <v>CDC</v>
      </c>
      <c r="C147" s="18">
        <f>INDEX(emprunts!M:M,MATCH($A147,emprunts!$A:$A,0))</f>
        <v>37006</v>
      </c>
      <c r="D147" s="18">
        <f>IF(INDEX(emprunts!O:O,MATCH($A147,emprunts!$A:$A,0))="",INDEX(emprunts!N:N,MATCH($A147,emprunts!$A:$A,0)),MIN(INDEX(emprunts!N:N,MATCH($A147,emprunts!$A:$A,0)),INDEX(emprunts!O:O,MATCH($A147,emprunts!$A:$A,0))))</f>
        <v>38102</v>
      </c>
      <c r="E147" s="52">
        <f>INDEX(emprunts!I:I,MATCH($A147,emprunts!$A:$A,0))</f>
        <v>3</v>
      </c>
      <c r="F147" s="18" t="str">
        <f>INDEX(emprunts!P:P,MATCH($A147,emprunts!$A:$A,0))</f>
        <v>Fixe</v>
      </c>
      <c r="G147" s="126" t="str">
        <f>IF(LEFT(A147,3)="vx_","vx",INDEX(Categorie,MATCH($A147,emprunts!$A$2:$A$149,0)))</f>
        <v>Non_st</v>
      </c>
      <c r="H147" s="6">
        <v>2003</v>
      </c>
      <c r="I147">
        <f t="shared" si="7"/>
        <v>1</v>
      </c>
      <c r="J147" s="4">
        <v>0</v>
      </c>
      <c r="K147" t="s">
        <v>155</v>
      </c>
      <c r="L147" s="88">
        <v>37006</v>
      </c>
      <c r="M147" s="88">
        <v>37006</v>
      </c>
      <c r="N147" s="14">
        <v>1372041.16</v>
      </c>
      <c r="O147" s="14">
        <v>487836.86</v>
      </c>
      <c r="P147" s="4">
        <v>4.7800000000000002E-2</v>
      </c>
      <c r="Q147" s="14">
        <v>44329.63</v>
      </c>
      <c r="R147" s="14">
        <v>457347.05</v>
      </c>
      <c r="T147" s="14">
        <v>15139.9</v>
      </c>
      <c r="U147" s="14">
        <v>501676.68</v>
      </c>
      <c r="V147" s="14">
        <f t="shared" si="12"/>
        <v>0</v>
      </c>
      <c r="W147" s="85"/>
      <c r="X147" s="85">
        <f t="shared" si="8"/>
        <v>0</v>
      </c>
      <c r="Y147" s="21">
        <f t="shared" si="9"/>
        <v>8.3226857667485638E-2</v>
      </c>
      <c r="Z147" t="s">
        <v>624</v>
      </c>
      <c r="AA147" s="55">
        <f t="shared" si="10"/>
        <v>59469.53</v>
      </c>
      <c r="AB147" s="55">
        <f t="shared" si="11"/>
        <v>-9.0000000083819032E-2</v>
      </c>
      <c r="AC147" s="55">
        <f t="shared" si="13"/>
        <v>714547.34284931503</v>
      </c>
    </row>
    <row r="148" spans="1:29">
      <c r="A148" t="s">
        <v>16</v>
      </c>
      <c r="B148" s="16" t="str">
        <f>INDEX(emprunts!C:C,MATCH($A148,emprunts!A:A,0))</f>
        <v>Caisse d'Épargne</v>
      </c>
      <c r="C148" s="18">
        <f>INDEX(emprunts!M:M,MATCH($A148,emprunts!$A:$A,0))</f>
        <v>37189</v>
      </c>
      <c r="D148" s="18">
        <f>IF(INDEX(emprunts!O:O,MATCH($A148,emprunts!$A:$A,0))="",INDEX(emprunts!N:N,MATCH($A148,emprunts!$A:$A,0)),MIN(INDEX(emprunts!N:N,MATCH($A148,emprunts!$A:$A,0)),INDEX(emprunts!O:O,MATCH($A148,emprunts!$A:$A,0))))</f>
        <v>38773</v>
      </c>
      <c r="E148" s="52">
        <f>INDEX(emprunts!I:I,MATCH($A148,emprunts!$A:$A,0))</f>
        <v>19</v>
      </c>
      <c r="F148" s="18" t="str">
        <f>INDEX(emprunts!P:P,MATCH($A148,emprunts!$A:$A,0))</f>
        <v>Pente</v>
      </c>
      <c r="G148" s="126" t="str">
        <f>IF(LEFT(A148,3)="vx_","vx",INDEX(Categorie,MATCH($A148,emprunts!$A$2:$A$149,0)))</f>
        <v>Struct</v>
      </c>
      <c r="H148" s="6">
        <v>2003</v>
      </c>
      <c r="I148">
        <f t="shared" si="7"/>
        <v>1</v>
      </c>
      <c r="J148" s="4">
        <v>0</v>
      </c>
      <c r="K148" t="s">
        <v>155</v>
      </c>
      <c r="L148" s="5">
        <v>37220</v>
      </c>
      <c r="M148" s="5">
        <v>38408</v>
      </c>
      <c r="N148" s="14">
        <v>11859925.98</v>
      </c>
      <c r="O148" s="14">
        <v>11859925.98</v>
      </c>
      <c r="P148" s="4">
        <v>4.1000000000000002E-2</v>
      </c>
      <c r="Q148" s="14">
        <v>626014.88</v>
      </c>
      <c r="R148" s="14">
        <v>0</v>
      </c>
      <c r="T148" s="14">
        <v>368514.04</v>
      </c>
      <c r="U148" s="14">
        <v>626014.88</v>
      </c>
      <c r="V148" s="14">
        <f t="shared" si="12"/>
        <v>0</v>
      </c>
      <c r="W148" s="85"/>
      <c r="X148" s="85">
        <f t="shared" si="8"/>
        <v>0</v>
      </c>
      <c r="Y148" s="21">
        <f t="shared" si="9"/>
        <v>8.4086624485635461E-2</v>
      </c>
      <c r="Z148" s="14"/>
      <c r="AA148" s="55">
        <f t="shared" si="10"/>
        <v>994528.91999999993</v>
      </c>
      <c r="AB148" s="55">
        <f t="shared" si="11"/>
        <v>0</v>
      </c>
      <c r="AC148" s="55">
        <f t="shared" si="13"/>
        <v>11827433.03210959</v>
      </c>
    </row>
    <row r="149" spans="1:29">
      <c r="A149" s="1" t="s">
        <v>22</v>
      </c>
      <c r="B149" s="16" t="str">
        <f>INDEX(emprunts!C:C,MATCH($A149,emprunts!A:A,0))</f>
        <v>Dexia CL</v>
      </c>
      <c r="C149" s="18">
        <f>INDEX(emprunts!M:M,MATCH($A149,emprunts!$A:$A,0))</f>
        <v>37221</v>
      </c>
      <c r="D149" s="18">
        <f>IF(INDEX(emprunts!O:O,MATCH($A149,emprunts!$A:$A,0))="",INDEX(emprunts!N:N,MATCH($A149,emprunts!$A:$A,0)),MIN(INDEX(emprunts!N:N,MATCH($A149,emprunts!$A:$A,0)),INDEX(emprunts!O:O,MATCH($A149,emprunts!$A:$A,0))))</f>
        <v>38777</v>
      </c>
      <c r="E149" s="52">
        <f>INDEX(emprunts!I:I,MATCH($A149,emprunts!$A:$A,0))</f>
        <v>20</v>
      </c>
      <c r="F149" s="18" t="str">
        <f>INDEX(emprunts!P:P,MATCH($A149,emprunts!$A:$A,0))</f>
        <v>Annulable</v>
      </c>
      <c r="G149" s="126" t="str">
        <f>IF(LEFT(A149,3)="vx_","vx",INDEX(Categorie,MATCH($A149,emprunts!$A$2:$A$149,0)))</f>
        <v>Struct</v>
      </c>
      <c r="H149" s="6">
        <v>2003</v>
      </c>
      <c r="I149">
        <f t="shared" si="7"/>
        <v>1</v>
      </c>
      <c r="J149" s="4">
        <v>0</v>
      </c>
      <c r="K149" t="s">
        <v>154</v>
      </c>
      <c r="L149" s="5">
        <v>37316</v>
      </c>
      <c r="M149" s="5">
        <v>37316</v>
      </c>
      <c r="N149" s="14">
        <v>3048980.34</v>
      </c>
      <c r="O149" s="14">
        <v>2744082.34</v>
      </c>
      <c r="P149" s="4">
        <v>4.2900000000000001E-2</v>
      </c>
      <c r="Q149" s="14">
        <v>123493.64</v>
      </c>
      <c r="R149" s="14">
        <v>152449</v>
      </c>
      <c r="T149" s="14">
        <v>9810.1</v>
      </c>
      <c r="U149" s="14">
        <v>275942.64</v>
      </c>
      <c r="V149" s="14">
        <f t="shared" si="12"/>
        <v>0</v>
      </c>
      <c r="W149" s="85"/>
      <c r="X149" s="85">
        <f t="shared" si="8"/>
        <v>0</v>
      </c>
      <c r="Y149" s="21">
        <f t="shared" si="9"/>
        <v>4.3720939929382266E-2</v>
      </c>
      <c r="Z149" s="14"/>
      <c r="AA149" s="55">
        <f t="shared" si="10"/>
        <v>122968.63999999998</v>
      </c>
      <c r="AB149" s="55">
        <f t="shared" si="11"/>
        <v>9.9999997764825821E-3</v>
      </c>
      <c r="AC149" s="55">
        <f t="shared" si="13"/>
        <v>2812579.9719452052</v>
      </c>
    </row>
    <row r="150" spans="1:29">
      <c r="A150" s="1" t="s">
        <v>26</v>
      </c>
      <c r="B150" s="16" t="str">
        <f>INDEX(emprunts!C:C,MATCH($A150,emprunts!A:A,0))</f>
        <v>CDC</v>
      </c>
      <c r="C150" s="18">
        <f>INDEX(emprunts!M:M,MATCH($A150,emprunts!$A:$A,0))</f>
        <v>37281</v>
      </c>
      <c r="D150" s="18">
        <f>IF(INDEX(emprunts!O:O,MATCH($A150,emprunts!$A:$A,0))="",INDEX(emprunts!N:N,MATCH($A150,emprunts!$A:$A,0)),MIN(INDEX(emprunts!N:N,MATCH($A150,emprunts!$A:$A,0)),INDEX(emprunts!O:O,MATCH($A150,emprunts!$A:$A,0))))</f>
        <v>39838</v>
      </c>
      <c r="E150" s="52">
        <f>INDEX(emprunts!I:I,MATCH($A150,emprunts!$A:$A,0))</f>
        <v>7</v>
      </c>
      <c r="F150" s="18" t="str">
        <f>INDEX(emprunts!P:P,MATCH($A150,emprunts!$A:$A,0))</f>
        <v>Fixe</v>
      </c>
      <c r="G150" s="126" t="str">
        <f>IF(LEFT(A150,3)="vx_","vx",INDEX(Categorie,MATCH($A150,emprunts!$A$2:$A$149,0)))</f>
        <v>Non_st</v>
      </c>
      <c r="H150" s="6">
        <v>2003</v>
      </c>
      <c r="I150">
        <f t="shared" si="7"/>
        <v>1</v>
      </c>
      <c r="J150" s="4">
        <v>0</v>
      </c>
      <c r="K150" t="s">
        <v>155</v>
      </c>
      <c r="L150" s="5">
        <v>37646</v>
      </c>
      <c r="M150" s="5">
        <v>37646</v>
      </c>
      <c r="N150" s="14">
        <v>2448751.2200000002</v>
      </c>
      <c r="O150" s="14">
        <v>2148909.85</v>
      </c>
      <c r="P150" s="4">
        <v>5.0999999999999997E-2</v>
      </c>
      <c r="Q150" s="14">
        <v>133098.01</v>
      </c>
      <c r="R150" s="14">
        <v>299841.37</v>
      </c>
      <c r="T150" s="14">
        <v>102087.93</v>
      </c>
      <c r="U150" s="14">
        <v>432939.38</v>
      </c>
      <c r="V150" s="14">
        <f t="shared" si="12"/>
        <v>0</v>
      </c>
      <c r="W150" s="85"/>
      <c r="X150" s="85">
        <f t="shared" si="8"/>
        <v>0</v>
      </c>
      <c r="Y150" s="21">
        <f t="shared" si="9"/>
        <v>4.8507158065208847E-2</v>
      </c>
      <c r="Z150" s="14" t="s">
        <v>177</v>
      </c>
      <c r="AA150" s="55">
        <f t="shared" si="10"/>
        <v>111204.23</v>
      </c>
      <c r="AB150" s="55">
        <f t="shared" si="11"/>
        <v>126.90000000037253</v>
      </c>
      <c r="AC150" s="55">
        <f t="shared" si="13"/>
        <v>2292532.3691506851</v>
      </c>
    </row>
    <row r="151" spans="1:29">
      <c r="A151" s="1" t="s">
        <v>28</v>
      </c>
      <c r="B151" s="16" t="str">
        <f>INDEX(emprunts!C:C,MATCH($A151,emprunts!A:A,0))</f>
        <v>CDC</v>
      </c>
      <c r="C151" s="18">
        <f>INDEX(emprunts!M:M,MATCH($A151,emprunts!$A:$A,0))</f>
        <v>37288</v>
      </c>
      <c r="D151" s="18">
        <f>IF(INDEX(emprunts!O:O,MATCH($A151,emprunts!$A:$A,0))="",INDEX(emprunts!N:N,MATCH($A151,emprunts!$A:$A,0)),MIN(INDEX(emprunts!N:N,MATCH($A151,emprunts!$A:$A,0)),INDEX(emprunts!O:O,MATCH($A151,emprunts!$A:$A,0))))</f>
        <v>44593</v>
      </c>
      <c r="E151" s="52">
        <f>INDEX(emprunts!I:I,MATCH($A151,emprunts!$A:$A,0))</f>
        <v>20</v>
      </c>
      <c r="F151" s="18" t="str">
        <f>INDEX(emprunts!P:P,MATCH($A151,emprunts!$A:$A,0))</f>
        <v>Livret A</v>
      </c>
      <c r="G151" s="126" t="str">
        <f>IF(LEFT(A151,3)="vx_","vx",INDEX(Categorie,MATCH($A151,emprunts!$A$2:$A$149,0)))</f>
        <v>Livr_A</v>
      </c>
      <c r="H151" s="6">
        <v>2003</v>
      </c>
      <c r="I151">
        <f t="shared" si="7"/>
        <v>1</v>
      </c>
      <c r="J151" s="4">
        <v>0</v>
      </c>
      <c r="K151" t="s">
        <v>155</v>
      </c>
      <c r="L151" s="5">
        <v>37653</v>
      </c>
      <c r="M151" s="5">
        <v>37653</v>
      </c>
      <c r="N151" s="14">
        <v>2137796</v>
      </c>
      <c r="O151" s="14">
        <v>2058236.41</v>
      </c>
      <c r="P151" s="4">
        <v>0.03</v>
      </c>
      <c r="Q151" s="14">
        <v>62173.25</v>
      </c>
      <c r="R151" s="14">
        <v>79559.59</v>
      </c>
      <c r="T151" s="14">
        <v>56333.65</v>
      </c>
      <c r="U151" s="14">
        <v>141732.84</v>
      </c>
      <c r="V151" s="14">
        <f t="shared" si="12"/>
        <v>0</v>
      </c>
      <c r="W151" s="85"/>
      <c r="X151" s="85">
        <f t="shared" si="8"/>
        <v>0</v>
      </c>
      <c r="Y151" s="21">
        <f t="shared" si="9"/>
        <v>2.9620404087739288E-2</v>
      </c>
      <c r="Z151" s="14"/>
      <c r="AA151" s="55">
        <f t="shared" si="10"/>
        <v>61973.829999999994</v>
      </c>
      <c r="AB151" s="55">
        <f t="shared" si="11"/>
        <v>0</v>
      </c>
      <c r="AC151" s="55">
        <f t="shared" si="13"/>
        <v>2092268.2153972604</v>
      </c>
    </row>
    <row r="152" spans="1:29">
      <c r="A152" s="1" t="s">
        <v>31</v>
      </c>
      <c r="B152" s="16" t="str">
        <f>INDEX(emprunts!C:C,MATCH($A152,emprunts!A:A,0))</f>
        <v>CDC</v>
      </c>
      <c r="C152" s="18">
        <f>INDEX(emprunts!M:M,MATCH($A152,emprunts!$A:$A,0))</f>
        <v>37347</v>
      </c>
      <c r="D152" s="18">
        <f>IF(INDEX(emprunts!O:O,MATCH($A152,emprunts!$A:$A,0))="",INDEX(emprunts!N:N,MATCH($A152,emprunts!$A:$A,0)),MIN(INDEX(emprunts!N:N,MATCH($A152,emprunts!$A:$A,0)),INDEX(emprunts!O:O,MATCH($A152,emprunts!$A:$A,0))))</f>
        <v>44652</v>
      </c>
      <c r="E152" s="52">
        <f>INDEX(emprunts!I:I,MATCH($A152,emprunts!$A:$A,0))</f>
        <v>20</v>
      </c>
      <c r="F152" s="18" t="str">
        <f>INDEX(emprunts!P:P,MATCH($A152,emprunts!$A:$A,0))</f>
        <v>Livret A</v>
      </c>
      <c r="G152" s="126" t="str">
        <f>IF(LEFT(A152,3)="vx_","vx",INDEX(Categorie,MATCH($A152,emprunts!$A$2:$A$149,0)))</f>
        <v>Livr_A</v>
      </c>
      <c r="H152" s="6">
        <v>2003</v>
      </c>
      <c r="I152">
        <f t="shared" si="7"/>
        <v>1</v>
      </c>
      <c r="J152" s="4">
        <v>1.2E-2</v>
      </c>
      <c r="K152" t="s">
        <v>155</v>
      </c>
      <c r="L152" s="5">
        <v>37712</v>
      </c>
      <c r="M152" s="5">
        <v>37712</v>
      </c>
      <c r="N152" s="14">
        <v>4722409</v>
      </c>
      <c r="O152" s="14">
        <v>4567085.41</v>
      </c>
      <c r="P152" s="4">
        <v>4.2000000000000003E-2</v>
      </c>
      <c r="Q152" s="14">
        <v>207779.36</v>
      </c>
      <c r="R152" s="14">
        <v>155323.59</v>
      </c>
      <c r="T152" s="14">
        <v>143601.15</v>
      </c>
      <c r="U152" s="14">
        <v>363102.95</v>
      </c>
      <c r="V152" s="14">
        <f t="shared" si="12"/>
        <v>5.8207660913467407E-11</v>
      </c>
      <c r="W152" s="85"/>
      <c r="X152" s="85">
        <f t="shared" si="8"/>
        <v>0</v>
      </c>
      <c r="Y152" s="21">
        <f t="shared" si="9"/>
        <v>4.1687698247418921E-2</v>
      </c>
      <c r="Z152" s="14"/>
      <c r="AA152" s="55">
        <f t="shared" si="10"/>
        <v>193098.33000000002</v>
      </c>
      <c r="AB152" s="55">
        <f t="shared" si="11"/>
        <v>0</v>
      </c>
      <c r="AC152" s="55">
        <f t="shared" si="13"/>
        <v>4632021.8701917809</v>
      </c>
    </row>
    <row r="153" spans="1:29">
      <c r="A153" s="1" t="s">
        <v>33</v>
      </c>
      <c r="B153" s="16" t="str">
        <f>INDEX(emprunts!C:C,MATCH($A153,emprunts!A:A,0))</f>
        <v>Crédit Agricole</v>
      </c>
      <c r="C153" s="18">
        <f>INDEX(emprunts!M:M,MATCH($A153,emprunts!$A:$A,0))</f>
        <v>37361</v>
      </c>
      <c r="D153" s="18">
        <f>IF(INDEX(emprunts!O:O,MATCH($A153,emprunts!$A:$A,0))="",INDEX(emprunts!N:N,MATCH($A153,emprunts!$A:$A,0)),MIN(INDEX(emprunts!N:N,MATCH($A153,emprunts!$A:$A,0)),INDEX(emprunts!O:O,MATCH($A153,emprunts!$A:$A,0))))</f>
        <v>42843</v>
      </c>
      <c r="E153" s="52">
        <f>INDEX(emprunts!I:I,MATCH($A153,emprunts!$A:$A,0))</f>
        <v>15</v>
      </c>
      <c r="F153" s="18" t="str">
        <f>INDEX(emprunts!P:P,MATCH($A153,emprunts!$A:$A,0))</f>
        <v>Barrière hors zone EUR</v>
      </c>
      <c r="G153" s="126" t="str">
        <f>IF(LEFT(A153,3)="vx_","vx",INDEX(Categorie,MATCH($A153,emprunts!$A$2:$A$149,0)))</f>
        <v>Struct</v>
      </c>
      <c r="H153" s="6">
        <v>2003</v>
      </c>
      <c r="I153">
        <f t="shared" si="7"/>
        <v>1</v>
      </c>
      <c r="J153" s="4">
        <v>0</v>
      </c>
      <c r="K153" t="s">
        <v>155</v>
      </c>
      <c r="L153" s="5">
        <v>37726</v>
      </c>
      <c r="M153" s="5">
        <v>37726</v>
      </c>
      <c r="N153" s="14">
        <v>13097112.84</v>
      </c>
      <c r="O153" s="14">
        <v>12418354.060000001</v>
      </c>
      <c r="P153" s="4">
        <v>3.5000000000000003E-2</v>
      </c>
      <c r="Q153" s="14">
        <v>458398.95</v>
      </c>
      <c r="R153" s="14">
        <v>678758.78</v>
      </c>
      <c r="T153" s="14">
        <v>263908.39</v>
      </c>
      <c r="U153" s="14">
        <v>1137157.73</v>
      </c>
      <c r="V153" s="14">
        <f t="shared" si="12"/>
        <v>0</v>
      </c>
      <c r="W153" s="85"/>
      <c r="X153" s="85">
        <f t="shared" si="8"/>
        <v>0</v>
      </c>
      <c r="Y153" s="21">
        <f t="shared" si="9"/>
        <v>5.6772756984053138E-2</v>
      </c>
      <c r="Z153" s="14"/>
      <c r="AA153" s="55">
        <f t="shared" si="10"/>
        <v>722307.34000000008</v>
      </c>
      <c r="AB153" s="55">
        <f t="shared" si="11"/>
        <v>0</v>
      </c>
      <c r="AC153" s="55">
        <f t="shared" si="13"/>
        <v>12722780.75561644</v>
      </c>
    </row>
    <row r="154" spans="1:29">
      <c r="A154" s="1" t="s">
        <v>38</v>
      </c>
      <c r="B154" s="16" t="str">
        <f>INDEX(emprunts!C:C,MATCH($A154,emprunts!A:A,0))</f>
        <v>Dexia CL</v>
      </c>
      <c r="C154" s="18">
        <f>INDEX(emprunts!M:M,MATCH($A154,emprunts!$A:$A,0))</f>
        <v>37377</v>
      </c>
      <c r="D154" s="18">
        <f>IF(INDEX(emprunts!O:O,MATCH($A154,emprunts!$A:$A,0))="",INDEX(emprunts!N:N,MATCH($A154,emprunts!$A:$A,0)),MIN(INDEX(emprunts!N:N,MATCH($A154,emprunts!$A:$A,0)),INDEX(emprunts!O:O,MATCH($A154,emprunts!$A:$A,0))))</f>
        <v>38087</v>
      </c>
      <c r="E154" s="52">
        <f>INDEX(emprunts!I:I,MATCH($A154,emprunts!$A:$A,0))</f>
        <v>17</v>
      </c>
      <c r="F154" s="18" t="str">
        <f>INDEX(emprunts!P:P,MATCH($A154,emprunts!$A:$A,0))</f>
        <v>Barrière</v>
      </c>
      <c r="G154" s="126" t="str">
        <f>IF(LEFT(A154,3)="vx_","vx",INDEX(Categorie,MATCH($A154,emprunts!$A$2:$A$149,0)))</f>
        <v>Struct</v>
      </c>
      <c r="H154" s="6">
        <v>2003</v>
      </c>
      <c r="I154">
        <f t="shared" si="7"/>
        <v>1</v>
      </c>
      <c r="J154" s="4">
        <v>0</v>
      </c>
      <c r="K154" t="s">
        <v>154</v>
      </c>
      <c r="L154" s="5">
        <v>37438</v>
      </c>
      <c r="M154" s="5">
        <v>37803</v>
      </c>
      <c r="N154" s="14">
        <v>13276172.539999999</v>
      </c>
      <c r="O154" s="49">
        <v>12976173</v>
      </c>
      <c r="P154" s="4">
        <v>4.9799999999999997E-2</v>
      </c>
      <c r="Q154" s="14">
        <v>666518.07999999996</v>
      </c>
      <c r="R154" s="14">
        <v>300000</v>
      </c>
      <c r="T154" s="14">
        <v>163348.38</v>
      </c>
      <c r="U154" s="14">
        <v>966518.08</v>
      </c>
      <c r="V154" s="14">
        <f t="shared" si="12"/>
        <v>0</v>
      </c>
      <c r="W154" s="85"/>
      <c r="X154" s="85">
        <f t="shared" si="8"/>
        <v>0</v>
      </c>
      <c r="Y154" s="21">
        <f t="shared" si="9"/>
        <v>5.0906339553822712E-2</v>
      </c>
      <c r="Z154" s="14"/>
      <c r="AA154" s="55">
        <f t="shared" si="10"/>
        <v>666374.72</v>
      </c>
      <c r="AB154" s="55">
        <f t="shared" si="11"/>
        <v>0.46000000089406967</v>
      </c>
      <c r="AC154" s="55">
        <f t="shared" si="13"/>
        <v>13090210.882191781</v>
      </c>
    </row>
    <row r="155" spans="1:29">
      <c r="A155" s="1" t="s">
        <v>43</v>
      </c>
      <c r="B155" s="16" t="str">
        <f>INDEX(emprunts!C:C,MATCH($A155,emprunts!A:A,0))</f>
        <v>Dexia CL</v>
      </c>
      <c r="C155" s="18">
        <f>INDEX(emprunts!M:M,MATCH($A155,emprunts!$A:$A,0))</f>
        <v>37377</v>
      </c>
      <c r="D155" s="18">
        <f>IF(INDEX(emprunts!O:O,MATCH($A155,emprunts!$A:$A,0))="",INDEX(emprunts!N:N,MATCH($A155,emprunts!$A:$A,0)),MIN(INDEX(emprunts!N:N,MATCH($A155,emprunts!$A:$A,0)),INDEX(emprunts!O:O,MATCH($A155,emprunts!$A:$A,0))))</f>
        <v>38534</v>
      </c>
      <c r="E155" s="52">
        <f>INDEX(emprunts!I:I,MATCH($A155,emprunts!$A:$A,0))</f>
        <v>19.25</v>
      </c>
      <c r="F155" s="18" t="str">
        <f>INDEX(emprunts!P:P,MATCH($A155,emprunts!$A:$A,0))</f>
        <v>Barrière hors zone EUR</v>
      </c>
      <c r="G155" s="126" t="str">
        <f>IF(LEFT(A155,3)="vx_","vx",INDEX(Categorie,MATCH($A155,emprunts!$A$2:$A$149,0)))</f>
        <v>Struct</v>
      </c>
      <c r="H155" s="6">
        <v>2003</v>
      </c>
      <c r="I155">
        <f t="shared" si="7"/>
        <v>1</v>
      </c>
      <c r="J155" s="4">
        <v>0</v>
      </c>
      <c r="K155" t="s">
        <v>154</v>
      </c>
      <c r="L155" s="5">
        <v>37469</v>
      </c>
      <c r="M155" s="5">
        <v>37834</v>
      </c>
      <c r="N155" s="14">
        <v>4603414.62</v>
      </c>
      <c r="O155" s="14">
        <v>4484414.62</v>
      </c>
      <c r="P155" s="4">
        <v>4.8300000000000003E-2</v>
      </c>
      <c r="Q155" s="14">
        <v>223964.19</v>
      </c>
      <c r="R155" s="14">
        <v>119000</v>
      </c>
      <c r="T155" s="14">
        <v>36099.53</v>
      </c>
      <c r="U155" s="14">
        <v>342964.19</v>
      </c>
      <c r="V155" s="14">
        <f t="shared" si="12"/>
        <v>0</v>
      </c>
      <c r="W155" s="85"/>
      <c r="X155" s="85">
        <f t="shared" si="8"/>
        <v>0</v>
      </c>
      <c r="Y155" s="21">
        <f t="shared" si="9"/>
        <v>4.9212827083890492E-2</v>
      </c>
      <c r="Z155" s="14"/>
      <c r="AA155" s="55">
        <f t="shared" si="10"/>
        <v>223006.23</v>
      </c>
      <c r="AB155" s="55">
        <f t="shared" si="11"/>
        <v>0</v>
      </c>
      <c r="AC155" s="55">
        <f t="shared" si="13"/>
        <v>4531465.5388493156</v>
      </c>
    </row>
    <row r="156" spans="1:29">
      <c r="A156" s="1" t="s">
        <v>46</v>
      </c>
      <c r="B156" s="16" t="str">
        <f>INDEX(emprunts!C:C,MATCH($A156,emprunts!A:A,0))</f>
        <v>Dexia CL</v>
      </c>
      <c r="C156" s="18">
        <f>INDEX(emprunts!M:M,MATCH($A156,emprunts!$A:$A,0))</f>
        <v>37377</v>
      </c>
      <c r="D156" s="18">
        <f>IF(INDEX(emprunts!O:O,MATCH($A156,emprunts!$A:$A,0))="",INDEX(emprunts!N:N,MATCH($A156,emprunts!$A:$A,0)),MIN(INDEX(emprunts!N:N,MATCH($A156,emprunts!$A:$A,0)),INDEX(emprunts!O:O,MATCH($A156,emprunts!$A:$A,0))))</f>
        <v>38087</v>
      </c>
      <c r="E156" s="52">
        <f>INDEX(emprunts!I:I,MATCH($A156,emprunts!$A:$A,0))</f>
        <v>19.25</v>
      </c>
      <c r="F156" s="18" t="str">
        <f>INDEX(emprunts!P:P,MATCH($A156,emprunts!$A:$A,0))</f>
        <v>Barrière hors zone EUR</v>
      </c>
      <c r="G156" s="126" t="str">
        <f>IF(LEFT(A156,3)="vx_","vx",INDEX(Categorie,MATCH($A156,emprunts!$A$2:$A$149,0)))</f>
        <v>Struct</v>
      </c>
      <c r="H156" s="6">
        <v>2003</v>
      </c>
      <c r="I156">
        <f t="shared" si="7"/>
        <v>1</v>
      </c>
      <c r="J156" s="4">
        <v>0</v>
      </c>
      <c r="K156" t="s">
        <v>154</v>
      </c>
      <c r="L156" s="5">
        <v>37469</v>
      </c>
      <c r="M156" s="5">
        <v>37834</v>
      </c>
      <c r="N156" s="14">
        <v>128964467.3</v>
      </c>
      <c r="O156" s="14">
        <v>12533467.300000001</v>
      </c>
      <c r="P156" s="4">
        <v>4.8300000000000003E-2</v>
      </c>
      <c r="Q156" s="14">
        <v>625898.04</v>
      </c>
      <c r="R156" s="14">
        <v>331000</v>
      </c>
      <c r="T156" s="14">
        <v>100894.41</v>
      </c>
      <c r="U156" s="14">
        <v>956898.04</v>
      </c>
      <c r="V156" s="14">
        <f t="shared" si="12"/>
        <v>0</v>
      </c>
      <c r="W156" s="85"/>
      <c r="X156" s="85">
        <f t="shared" si="8"/>
        <v>0</v>
      </c>
      <c r="Y156" s="21">
        <f t="shared" si="9"/>
        <v>4.921232216399065E-2</v>
      </c>
      <c r="Z156" s="14"/>
      <c r="AA156" s="55">
        <f t="shared" si="10"/>
        <v>623233.49000000011</v>
      </c>
      <c r="AB156" s="55">
        <f t="shared" si="11"/>
        <v>0</v>
      </c>
      <c r="AC156" s="55">
        <f t="shared" si="13"/>
        <v>12664175.608767124</v>
      </c>
    </row>
    <row r="157" spans="1:29">
      <c r="A157" s="1" t="s">
        <v>47</v>
      </c>
      <c r="B157" s="16" t="str">
        <f>INDEX(emprunts!C:C,MATCH($A157,emprunts!A:A,0))</f>
        <v>Dexia CL</v>
      </c>
      <c r="C157" s="18">
        <f>INDEX(emprunts!M:M,MATCH($A157,emprunts!$A:$A,0))</f>
        <v>37377</v>
      </c>
      <c r="D157" s="18">
        <f>IF(INDEX(emprunts!O:O,MATCH($A157,emprunts!$A:$A,0))="",INDEX(emprunts!N:N,MATCH($A157,emprunts!$A:$A,0)),MIN(INDEX(emprunts!N:N,MATCH($A157,emprunts!$A:$A,0)),INDEX(emprunts!O:O,MATCH($A157,emprunts!$A:$A,0))))</f>
        <v>38153</v>
      </c>
      <c r="E157" s="52">
        <f>INDEX(emprunts!I:I,MATCH($A157,emprunts!$A:$A,0))</f>
        <v>12</v>
      </c>
      <c r="F157" s="18" t="str">
        <f>INDEX(emprunts!P:P,MATCH($A157,emprunts!$A:$A,0))</f>
        <v>Change</v>
      </c>
      <c r="G157" s="126" t="str">
        <f>IF(LEFT(A157,3)="vx_","vx",INDEX(Categorie,MATCH($A157,emprunts!$A$2:$A$149,0)))</f>
        <v>Struct</v>
      </c>
      <c r="H157" s="6">
        <v>2003</v>
      </c>
      <c r="I157">
        <f t="shared" si="7"/>
        <v>1</v>
      </c>
      <c r="J157" s="4">
        <v>0</v>
      </c>
      <c r="K157" t="s">
        <v>155</v>
      </c>
      <c r="L157" s="5">
        <v>37742</v>
      </c>
      <c r="M157" s="5">
        <v>37742</v>
      </c>
      <c r="N157" s="14">
        <v>9827176.1899999995</v>
      </c>
      <c r="O157" s="14">
        <v>9023287.25</v>
      </c>
      <c r="P157" s="4">
        <v>5.2600000000000001E-2</v>
      </c>
      <c r="Q157" s="14">
        <v>510612.9</v>
      </c>
      <c r="R157" s="14">
        <v>246954.71</v>
      </c>
      <c r="T157" s="14">
        <v>266416.61</v>
      </c>
      <c r="U157" s="14">
        <v>757567.61</v>
      </c>
      <c r="V157" s="14">
        <f t="shared" si="12"/>
        <v>0</v>
      </c>
      <c r="W157" s="85">
        <v>-556934.22999999858</v>
      </c>
      <c r="X157" s="85">
        <f t="shared" si="8"/>
        <v>0</v>
      </c>
      <c r="Y157" s="21">
        <f t="shared" si="9"/>
        <v>5.8265321165457594E-2</v>
      </c>
      <c r="Z157" s="14"/>
      <c r="AA157" s="55">
        <f t="shared" si="10"/>
        <v>531479.07000000007</v>
      </c>
      <c r="AB157" s="55">
        <f t="shared" si="11"/>
        <v>0</v>
      </c>
      <c r="AC157" s="55">
        <f t="shared" si="13"/>
        <v>9121704.9759452064</v>
      </c>
    </row>
    <row r="158" spans="1:29">
      <c r="A158" s="1" t="s">
        <v>51</v>
      </c>
      <c r="B158" s="16" t="str">
        <f>INDEX(emprunts!C:C,MATCH($A158,emprunts!A:A,0))</f>
        <v>Dexia CL</v>
      </c>
      <c r="C158" s="18">
        <f>INDEX(emprunts!M:M,MATCH($A158,emprunts!$A:$A,0))</f>
        <v>37377</v>
      </c>
      <c r="D158" s="18">
        <f>IF(INDEX(emprunts!O:O,MATCH($A158,emprunts!$A:$A,0))="",INDEX(emprunts!N:N,MATCH($A158,emprunts!$A:$A,0)),MIN(INDEX(emprunts!N:N,MATCH($A158,emprunts!$A:$A,0)),INDEX(emprunts!O:O,MATCH($A158,emprunts!$A:$A,0))))</f>
        <v>38193</v>
      </c>
      <c r="E158" s="52">
        <f>INDEX(emprunts!I:I,MATCH($A158,emprunts!$A:$A,0))</f>
        <v>8</v>
      </c>
      <c r="F158" s="18" t="str">
        <f>INDEX(emprunts!P:P,MATCH($A158,emprunts!$A:$A,0))</f>
        <v>Variable hors zone EUR</v>
      </c>
      <c r="G158" s="126" t="str">
        <f>IF(LEFT(A158,3)="vx_","vx",INDEX(Categorie,MATCH($A158,emprunts!$A$2:$A$149,0)))</f>
        <v>Struct</v>
      </c>
      <c r="H158" s="6">
        <v>2003</v>
      </c>
      <c r="I158">
        <f t="shared" si="7"/>
        <v>1</v>
      </c>
      <c r="J158" s="4">
        <v>-2E-3</v>
      </c>
      <c r="K158" t="s">
        <v>155</v>
      </c>
      <c r="L158" s="5">
        <v>37773</v>
      </c>
      <c r="M158" s="5">
        <v>37773</v>
      </c>
      <c r="N158" s="14">
        <v>5216728.38</v>
      </c>
      <c r="O158" s="14">
        <v>4566728.38</v>
      </c>
      <c r="P158" s="4">
        <v>1.2500000000000001E-2</v>
      </c>
      <c r="Q158" s="14">
        <v>58531.69</v>
      </c>
      <c r="R158" s="14">
        <v>650000</v>
      </c>
      <c r="T158" s="14">
        <v>33682.71</v>
      </c>
      <c r="U158" s="14">
        <v>708531.69</v>
      </c>
      <c r="V158" s="14">
        <f t="shared" si="12"/>
        <v>0</v>
      </c>
      <c r="W158" s="85"/>
      <c r="X158" s="85">
        <f t="shared" si="8"/>
        <v>0</v>
      </c>
      <c r="Y158" s="21">
        <f t="shared" si="9"/>
        <v>1.9012155540855239E-3</v>
      </c>
      <c r="Z158" s="14"/>
      <c r="AA158" s="55">
        <f t="shared" si="10"/>
        <v>9274.75</v>
      </c>
      <c r="AB158" s="55">
        <f t="shared" si="11"/>
        <v>0</v>
      </c>
      <c r="AC158" s="55">
        <f t="shared" si="13"/>
        <v>4878326.3844383564</v>
      </c>
    </row>
    <row r="159" spans="1:29">
      <c r="A159" s="1" t="s">
        <v>55</v>
      </c>
      <c r="B159" s="16" t="str">
        <f>INDEX(emprunts!C:C,MATCH($A159,emprunts!A:A,0))</f>
        <v>CDC</v>
      </c>
      <c r="C159" s="18">
        <f>INDEX(emprunts!M:M,MATCH($A159,emprunts!$A:$A,0))</f>
        <v>37530</v>
      </c>
      <c r="D159" s="18">
        <f>IF(INDEX(emprunts!O:O,MATCH($A159,emprunts!$A:$A,0))="",INDEX(emprunts!N:N,MATCH($A159,emprunts!$A:$A,0)),MIN(INDEX(emprunts!N:N,MATCH($A159,emprunts!$A:$A,0)),INDEX(emprunts!O:O,MATCH($A159,emprunts!$A:$A,0))))</f>
        <v>37530</v>
      </c>
      <c r="E159" s="52">
        <f>INDEX(emprunts!I:I,MATCH($A159,emprunts!$A:$A,0))</f>
        <v>20</v>
      </c>
      <c r="F159" s="18" t="str">
        <f>INDEX(emprunts!P:P,MATCH($A159,emprunts!$A:$A,0))</f>
        <v>Livret A</v>
      </c>
      <c r="G159" s="126" t="str">
        <f>IF(LEFT(A159,3)="vx_","vx",INDEX(Categorie,MATCH($A159,emprunts!$A$2:$A$149,0)))</f>
        <v>Livr_A</v>
      </c>
      <c r="H159" s="6">
        <v>2003</v>
      </c>
      <c r="I159">
        <f t="shared" si="7"/>
        <v>1</v>
      </c>
      <c r="J159" s="4">
        <v>2.5000000000000001E-3</v>
      </c>
      <c r="K159" t="s">
        <v>155</v>
      </c>
      <c r="L159" s="5">
        <v>37895</v>
      </c>
      <c r="M159" s="5">
        <v>37895</v>
      </c>
      <c r="N159" s="14">
        <v>1593000</v>
      </c>
      <c r="O159" s="14">
        <v>1535207.74</v>
      </c>
      <c r="P159" s="4">
        <v>2.5000000000000001E-2</v>
      </c>
      <c r="Q159" s="14">
        <v>52781.67</v>
      </c>
      <c r="R159" s="14">
        <v>57792.26</v>
      </c>
      <c r="T159" s="14">
        <v>9542.6200000000008</v>
      </c>
      <c r="U159" s="14">
        <v>110573.93</v>
      </c>
      <c r="V159" s="14">
        <f t="shared" si="12"/>
        <v>0</v>
      </c>
      <c r="W159" s="85"/>
      <c r="X159" s="85">
        <f t="shared" si="8"/>
        <v>0</v>
      </c>
      <c r="Y159" s="21" t="e">
        <f t="shared" si="9"/>
        <v>#DIV/0!</v>
      </c>
      <c r="Z159" s="14" t="s">
        <v>178</v>
      </c>
      <c r="AA159" s="55">
        <f t="shared" si="10"/>
        <v>48423.73</v>
      </c>
      <c r="AB159" s="55">
        <f t="shared" si="11"/>
        <v>0</v>
      </c>
      <c r="AC159" s="55">
        <f t="shared" si="13"/>
        <v>0</v>
      </c>
    </row>
    <row r="160" spans="1:29">
      <c r="A160" s="1" t="s">
        <v>57</v>
      </c>
      <c r="B160" s="16" t="str">
        <f>INDEX(emprunts!C:C,MATCH($A160,emprunts!A:A,0))</f>
        <v>Dexia CL</v>
      </c>
      <c r="C160" s="18">
        <f>INDEX(emprunts!M:M,MATCH($A160,emprunts!$A:$A,0))</f>
        <v>37533</v>
      </c>
      <c r="D160" s="18">
        <f>IF(INDEX(emprunts!O:O,MATCH($A160,emprunts!$A:$A,0))="",INDEX(emprunts!N:N,MATCH($A160,emprunts!$A:$A,0)),MIN(INDEX(emprunts!N:N,MATCH($A160,emprunts!$A:$A,0)),INDEX(emprunts!O:O,MATCH($A160,emprunts!$A:$A,0))))</f>
        <v>38193</v>
      </c>
      <c r="E160" s="52">
        <f>INDEX(emprunts!I:I,MATCH($A160,emprunts!$A:$A,0))</f>
        <v>20</v>
      </c>
      <c r="F160" s="18" t="str">
        <f>INDEX(emprunts!P:P,MATCH($A160,emprunts!$A:$A,0))</f>
        <v>Fixe</v>
      </c>
      <c r="G160" s="126" t="str">
        <f>IF(LEFT(A160,3)="vx_","vx",INDEX(Categorie,MATCH($A160,emprunts!$A$2:$A$149,0)))</f>
        <v>Non_st</v>
      </c>
      <c r="H160" s="6">
        <v>2003</v>
      </c>
      <c r="I160">
        <f t="shared" si="7"/>
        <v>1</v>
      </c>
      <c r="J160" s="4">
        <v>0</v>
      </c>
      <c r="K160" t="s">
        <v>155</v>
      </c>
      <c r="L160" s="5">
        <v>37895</v>
      </c>
      <c r="M160" s="5">
        <v>37895</v>
      </c>
      <c r="N160" s="14">
        <v>3000000</v>
      </c>
      <c r="O160" s="14">
        <v>2850000</v>
      </c>
      <c r="P160" s="4">
        <v>4.7500000000000001E-2</v>
      </c>
      <c r="Q160" s="14">
        <v>153187.5</v>
      </c>
      <c r="R160" s="14">
        <v>150000</v>
      </c>
      <c r="T160" s="14">
        <v>33658.81</v>
      </c>
      <c r="U160" s="14">
        <v>303187.5</v>
      </c>
      <c r="V160" s="14">
        <f t="shared" si="12"/>
        <v>0</v>
      </c>
      <c r="W160" s="85"/>
      <c r="X160" s="85">
        <f t="shared" si="8"/>
        <v>0</v>
      </c>
      <c r="Y160" s="21">
        <f t="shared" si="9"/>
        <v>5.2142764581572264E-2</v>
      </c>
      <c r="Z160" s="14"/>
      <c r="AA160" s="55">
        <f t="shared" si="10"/>
        <v>152099.72999999998</v>
      </c>
      <c r="AB160" s="55">
        <f t="shared" si="11"/>
        <v>0</v>
      </c>
      <c r="AC160" s="55">
        <f t="shared" si="13"/>
        <v>2916986.3013698631</v>
      </c>
    </row>
    <row r="161" spans="1:29">
      <c r="A161" s="1" t="s">
        <v>59</v>
      </c>
      <c r="B161" s="16" t="str">
        <f>INDEX(emprunts!C:C,MATCH($A161,emprunts!A:A,0))</f>
        <v>CDC</v>
      </c>
      <c r="C161" s="18">
        <f>INDEX(emprunts!M:M,MATCH($A161,emprunts!$A:$A,0))</f>
        <v>37621</v>
      </c>
      <c r="D161" s="18">
        <f>IF(INDEX(emprunts!O:O,MATCH($A161,emprunts!$A:$A,0))="",INDEX(emprunts!N:N,MATCH($A161,emprunts!$A:$A,0)),MIN(INDEX(emprunts!N:N,MATCH($A161,emprunts!$A:$A,0)),INDEX(emprunts!O:O,MATCH($A161,emprunts!$A:$A,0))))</f>
        <v>44927</v>
      </c>
      <c r="E161" s="52">
        <f>INDEX(emprunts!I:I,MATCH($A161,emprunts!$A:$A,0))</f>
        <v>20</v>
      </c>
      <c r="F161" s="18" t="str">
        <f>INDEX(emprunts!P:P,MATCH($A161,emprunts!$A:$A,0))</f>
        <v>Livret A</v>
      </c>
      <c r="G161" s="126" t="str">
        <f>IF(LEFT(A161,3)="vx_","vx",INDEX(Categorie,MATCH($A161,emprunts!$A$2:$A$149,0)))</f>
        <v>Livr_A</v>
      </c>
      <c r="H161" s="6">
        <v>2003</v>
      </c>
      <c r="I161">
        <f t="shared" si="7"/>
        <v>1</v>
      </c>
      <c r="J161" s="4">
        <v>1.2E-2</v>
      </c>
      <c r="K161" t="s">
        <v>155</v>
      </c>
      <c r="L161" s="5">
        <v>37987</v>
      </c>
      <c r="M161" s="5">
        <v>37987</v>
      </c>
      <c r="N161" s="14">
        <v>4190000</v>
      </c>
      <c r="O161" s="14">
        <v>4190000</v>
      </c>
      <c r="P161" s="4">
        <v>4.2000000000000003E-2</v>
      </c>
      <c r="Q161" s="14">
        <v>0</v>
      </c>
      <c r="R161" s="14">
        <v>0</v>
      </c>
      <c r="T161" s="14">
        <v>164225.9</v>
      </c>
      <c r="U161" s="14">
        <v>0</v>
      </c>
      <c r="V161" s="14">
        <f t="shared" si="12"/>
        <v>0</v>
      </c>
      <c r="W161" s="85"/>
      <c r="X161" s="85">
        <f t="shared" si="8"/>
        <v>0</v>
      </c>
      <c r="Y161" s="21">
        <f t="shared" si="9"/>
        <v>3.930240335440216E-2</v>
      </c>
      <c r="Z161" s="14"/>
      <c r="AA161" s="55">
        <f t="shared" si="10"/>
        <v>164225.9</v>
      </c>
      <c r="AB161" s="55">
        <f t="shared" si="11"/>
        <v>0</v>
      </c>
      <c r="AC161" s="55">
        <f t="shared" si="13"/>
        <v>4178520.5479452056</v>
      </c>
    </row>
    <row r="162" spans="1:29">
      <c r="A162" s="1" t="s">
        <v>60</v>
      </c>
      <c r="B162" s="16" t="str">
        <f>INDEX(emprunts!C:C,MATCH($A162,emprunts!A:A,0))</f>
        <v>Dexia CL</v>
      </c>
      <c r="C162" s="18">
        <f>INDEX(emprunts!M:M,MATCH($A162,emprunts!$A:$A,0))</f>
        <v>37622</v>
      </c>
      <c r="D162" s="18">
        <f>IF(INDEX(emprunts!O:O,MATCH($A162,emprunts!$A:$A,0))="",INDEX(emprunts!N:N,MATCH($A162,emprunts!$A:$A,0)),MIN(INDEX(emprunts!N:N,MATCH($A162,emprunts!$A:$A,0)),INDEX(emprunts!O:O,MATCH($A162,emprunts!$A:$A,0))))</f>
        <v>39350</v>
      </c>
      <c r="E162" s="52">
        <f>INDEX(emprunts!I:I,MATCH($A162,emprunts!$A:$A,0))</f>
        <v>14</v>
      </c>
      <c r="F162" s="18" t="str">
        <f>INDEX(emprunts!P:P,MATCH($A162,emprunts!$A:$A,0))</f>
        <v>Barrière hors zone EUR</v>
      </c>
      <c r="G162" s="126" t="str">
        <f>IF(LEFT(A162,3)="vx_","vx",INDEX(Categorie,MATCH($A162,emprunts!$A$2:$A$149,0)))</f>
        <v>Struct</v>
      </c>
      <c r="H162" s="6">
        <v>2003</v>
      </c>
      <c r="I162">
        <f t="shared" si="7"/>
        <v>1</v>
      </c>
      <c r="J162" s="4">
        <v>-5.9999999999999995E-4</v>
      </c>
      <c r="K162" t="s">
        <v>155</v>
      </c>
      <c r="L162" s="5">
        <v>37987</v>
      </c>
      <c r="M162" s="5">
        <v>37987</v>
      </c>
      <c r="N162" s="14">
        <v>11919139.83</v>
      </c>
      <c r="O162" s="14">
        <v>11919139.83</v>
      </c>
      <c r="P162" s="4">
        <v>2.2499999999999999E-2</v>
      </c>
      <c r="Q162" s="14">
        <v>0</v>
      </c>
      <c r="R162" s="14">
        <v>0</v>
      </c>
      <c r="T162" s="14">
        <v>221401.46</v>
      </c>
      <c r="U162" s="14">
        <v>0</v>
      </c>
      <c r="V162" s="14">
        <f t="shared" si="12"/>
        <v>0</v>
      </c>
      <c r="W162" s="85"/>
      <c r="X162" s="85">
        <f t="shared" si="8"/>
        <v>0</v>
      </c>
      <c r="Y162" s="21">
        <f t="shared" si="9"/>
        <v>1.8626319427048014E-2</v>
      </c>
      <c r="Z162" s="14"/>
      <c r="AA162" s="55">
        <f t="shared" si="10"/>
        <v>221401.46</v>
      </c>
      <c r="AB162" s="55" t="str">
        <f t="shared" si="11"/>
        <v/>
      </c>
      <c r="AC162" s="55">
        <f t="shared" si="13"/>
        <v>11886484.652383562</v>
      </c>
    </row>
    <row r="163" spans="1:29">
      <c r="A163" s="1" t="s">
        <v>61</v>
      </c>
      <c r="B163" s="16" t="str">
        <f>INDEX(emprunts!C:C,MATCH($A163,emprunts!A:A,0))</f>
        <v>LCL</v>
      </c>
      <c r="C163" s="18">
        <f>INDEX(emprunts!M:M,MATCH($A163,emprunts!$A:$A,0))</f>
        <v>37622</v>
      </c>
      <c r="D163" s="18">
        <f>IF(INDEX(emprunts!O:O,MATCH($A163,emprunts!$A:$A,0))="",INDEX(emprunts!N:N,MATCH($A163,emprunts!$A:$A,0)),MIN(INDEX(emprunts!N:N,MATCH($A163,emprunts!$A:$A,0)),INDEX(emprunts!O:O,MATCH($A163,emprunts!$A:$A,0))))</f>
        <v>37666</v>
      </c>
      <c r="E163" s="52">
        <f>INDEX(emprunts!I:I,MATCH($A163,emprunts!$A:$A,0))</f>
        <v>0.08</v>
      </c>
      <c r="F163" s="18" t="str">
        <f>INDEX(emprunts!P:P,MATCH($A163,emprunts!$A:$A,0))</f>
        <v>Fixe</v>
      </c>
      <c r="G163" s="126" t="str">
        <f>IF(LEFT(A163,3)="vx_","vx",INDEX(Categorie,MATCH($A163,emprunts!$A$2:$A$149,0)))</f>
        <v>Non_st</v>
      </c>
      <c r="H163" s="6">
        <v>2003</v>
      </c>
      <c r="I163">
        <f t="shared" si="7"/>
        <v>1</v>
      </c>
      <c r="J163" s="4">
        <v>0</v>
      </c>
      <c r="K163" t="s">
        <v>176</v>
      </c>
      <c r="L163" s="5">
        <v>37666</v>
      </c>
      <c r="M163" s="5">
        <v>37666</v>
      </c>
      <c r="N163" s="14">
        <v>838469.6</v>
      </c>
      <c r="O163" s="14">
        <v>0</v>
      </c>
      <c r="P163" s="4">
        <v>2.87E-2</v>
      </c>
      <c r="Q163" s="14">
        <v>4602.6499999999996</v>
      </c>
      <c r="R163" s="14">
        <v>838469.6</v>
      </c>
      <c r="T163" s="14">
        <v>0</v>
      </c>
      <c r="U163" s="14">
        <v>843072.25</v>
      </c>
      <c r="V163" s="14">
        <f t="shared" si="12"/>
        <v>0</v>
      </c>
      <c r="W163" s="85"/>
      <c r="X163" s="85">
        <f t="shared" si="8"/>
        <v>0</v>
      </c>
      <c r="Y163" s="21">
        <f t="shared" si="9"/>
        <v>9.1073245502607036E-2</v>
      </c>
      <c r="Z163" s="14"/>
      <c r="AA163" s="55">
        <f t="shared" si="10"/>
        <v>4602.6499999999996</v>
      </c>
      <c r="AB163" s="55" t="str">
        <f t="shared" si="11"/>
        <v/>
      </c>
      <c r="AC163" s="55">
        <f t="shared" si="13"/>
        <v>50537.893698630134</v>
      </c>
    </row>
    <row r="164" spans="1:29">
      <c r="A164" s="1" t="s">
        <v>64</v>
      </c>
      <c r="B164" s="16" t="str">
        <f>INDEX(emprunts!C:C,MATCH($A164,emprunts!A:A,0))</f>
        <v>Dexia CL</v>
      </c>
      <c r="C164" s="18">
        <f>INDEX(emprunts!M:M,MATCH($A164,emprunts!$A:$A,0))</f>
        <v>37681</v>
      </c>
      <c r="D164" s="18">
        <f>IF(INDEX(emprunts!O:O,MATCH($A164,emprunts!$A:$A,0))="",INDEX(emprunts!N:N,MATCH($A164,emprunts!$A:$A,0)),MIN(INDEX(emprunts!N:N,MATCH($A164,emprunts!$A:$A,0)),INDEX(emprunts!O:O,MATCH($A164,emprunts!$A:$A,0))))</f>
        <v>38443</v>
      </c>
      <c r="E164" s="52">
        <f>INDEX(emprunts!I:I,MATCH($A164,emprunts!$A:$A,0))</f>
        <v>15</v>
      </c>
      <c r="F164" s="18" t="str">
        <f>INDEX(emprunts!P:P,MATCH($A164,emprunts!$A:$A,0))</f>
        <v>Barrière</v>
      </c>
      <c r="G164" s="126" t="str">
        <f>IF(LEFT(A164,3)="vx_","vx",INDEX(Categorie,MATCH($A164,emprunts!$A$2:$A$149,0)))</f>
        <v>Struct</v>
      </c>
      <c r="H164" s="6">
        <v>2003</v>
      </c>
      <c r="I164">
        <f t="shared" si="7"/>
        <v>1</v>
      </c>
      <c r="J164" s="4">
        <v>0</v>
      </c>
      <c r="K164" t="s">
        <v>155</v>
      </c>
      <c r="L164" s="5">
        <v>38047</v>
      </c>
      <c r="M164" s="5">
        <v>38047</v>
      </c>
      <c r="N164" s="14">
        <v>8404911.75</v>
      </c>
      <c r="O164" s="14">
        <v>8404911.75</v>
      </c>
      <c r="P164" s="4">
        <v>4.5499999999999999E-2</v>
      </c>
      <c r="Q164" s="14">
        <v>0</v>
      </c>
      <c r="R164" s="14">
        <v>0</v>
      </c>
      <c r="T164" s="14">
        <v>278693.26</v>
      </c>
      <c r="U164" s="14">
        <v>0</v>
      </c>
      <c r="V164" s="14">
        <f t="shared" si="12"/>
        <v>0</v>
      </c>
      <c r="W164" s="85"/>
      <c r="X164" s="85">
        <f t="shared" si="8"/>
        <v>0</v>
      </c>
      <c r="Y164" s="21">
        <f t="shared" si="9"/>
        <v>3.9681340331331548E-2</v>
      </c>
      <c r="Z164" s="14"/>
      <c r="AA164" s="55">
        <f t="shared" si="10"/>
        <v>278693.26</v>
      </c>
      <c r="AB164" s="55" t="str">
        <f t="shared" si="11"/>
        <v/>
      </c>
      <c r="AC164" s="55">
        <f t="shared" si="13"/>
        <v>7023282.4212328764</v>
      </c>
    </row>
    <row r="165" spans="1:29">
      <c r="A165" s="1" t="s">
        <v>71</v>
      </c>
      <c r="B165" s="16" t="str">
        <f>INDEX(emprunts!C:C,MATCH($A165,emprunts!A:A,0))</f>
        <v>Dexia CL</v>
      </c>
      <c r="C165" s="18">
        <f>INDEX(emprunts!M:M,MATCH($A165,emprunts!$A:$A,0))</f>
        <v>37742</v>
      </c>
      <c r="D165" s="18">
        <f>IF(INDEX(emprunts!O:O,MATCH($A165,emprunts!$A:$A,0))="",INDEX(emprunts!N:N,MATCH($A165,emprunts!$A:$A,0)),MIN(INDEX(emprunts!N:N,MATCH($A165,emprunts!$A:$A,0)),INDEX(emprunts!O:O,MATCH($A165,emprunts!$A:$A,0))))</f>
        <v>38443</v>
      </c>
      <c r="E165" s="52">
        <f>INDEX(emprunts!I:I,MATCH($A165,emprunts!$A:$A,0))</f>
        <v>8</v>
      </c>
      <c r="F165" s="18" t="str">
        <f>INDEX(emprunts!P:P,MATCH($A165,emprunts!$A:$A,0))</f>
        <v>Barrière</v>
      </c>
      <c r="G165" s="126" t="str">
        <f>IF(LEFT(A165,3)="vx_","vx",INDEX(Categorie,MATCH($A165,emprunts!$A$2:$A$149,0)))</f>
        <v>Struct</v>
      </c>
      <c r="H165" s="6">
        <v>2003</v>
      </c>
      <c r="I165">
        <f t="shared" si="7"/>
        <v>1</v>
      </c>
      <c r="J165" s="4">
        <v>0</v>
      </c>
      <c r="K165" t="s">
        <v>155</v>
      </c>
      <c r="L165" s="5">
        <v>38108</v>
      </c>
      <c r="M165" s="5">
        <v>38108</v>
      </c>
      <c r="N165" s="14">
        <v>2506491.5</v>
      </c>
      <c r="O165" s="14">
        <v>2506491.5</v>
      </c>
      <c r="P165" s="4">
        <v>4.5499999999999999E-2</v>
      </c>
      <c r="Q165" s="14">
        <v>0</v>
      </c>
      <c r="R165" s="14">
        <v>0</v>
      </c>
      <c r="T165" s="14">
        <v>77297.41</v>
      </c>
      <c r="U165" s="14">
        <v>0</v>
      </c>
      <c r="V165" s="14">
        <f t="shared" si="12"/>
        <v>0</v>
      </c>
      <c r="W165" s="85"/>
      <c r="X165" s="85">
        <f t="shared" si="8"/>
        <v>0</v>
      </c>
      <c r="Y165" s="21">
        <f t="shared" si="9"/>
        <v>4.6131942731928499E-2</v>
      </c>
      <c r="Z165" s="14"/>
      <c r="AA165" s="55">
        <f t="shared" si="10"/>
        <v>77297.41</v>
      </c>
      <c r="AB165" s="55" t="str">
        <f t="shared" si="11"/>
        <v/>
      </c>
      <c r="AC165" s="55">
        <f t="shared" si="13"/>
        <v>1675572.4000000001</v>
      </c>
    </row>
    <row r="166" spans="1:29">
      <c r="A166" s="1" t="s">
        <v>72</v>
      </c>
      <c r="B166" s="16" t="str">
        <f>INDEX(emprunts!C:C,MATCH($A166,emprunts!A:A,0))</f>
        <v>Dexia CL</v>
      </c>
      <c r="C166" s="18">
        <f>INDEX(emprunts!M:M,MATCH($A166,emprunts!$A:$A,0))</f>
        <v>37756</v>
      </c>
      <c r="D166" s="18">
        <f>IF(INDEX(emprunts!O:O,MATCH($A166,emprunts!$A:$A,0))="",INDEX(emprunts!N:N,MATCH($A166,emprunts!$A:$A,0)),MIN(INDEX(emprunts!N:N,MATCH($A166,emprunts!$A:$A,0)),INDEX(emprunts!O:O,MATCH($A166,emprunts!$A:$A,0))))</f>
        <v>39539</v>
      </c>
      <c r="E166" s="52">
        <f>INDEX(emprunts!I:I,MATCH($A166,emprunts!$A:$A,0))</f>
        <v>20</v>
      </c>
      <c r="F166" s="18" t="str">
        <f>INDEX(emprunts!P:P,MATCH($A166,emprunts!$A:$A,0))</f>
        <v>Barrière hors zone EUR</v>
      </c>
      <c r="G166" s="126" t="str">
        <f>IF(LEFT(A166,3)="vx_","vx",INDEX(Categorie,MATCH($A166,emprunts!$A$2:$A$149,0)))</f>
        <v>Struct</v>
      </c>
      <c r="H166" s="6">
        <v>2003</v>
      </c>
      <c r="I166">
        <f t="shared" si="7"/>
        <v>1</v>
      </c>
      <c r="J166" s="4">
        <v>1.1999999999999999E-3</v>
      </c>
      <c r="K166" t="s">
        <v>176</v>
      </c>
      <c r="L166" s="5">
        <v>37773</v>
      </c>
      <c r="M166" s="5">
        <v>38384</v>
      </c>
      <c r="N166" s="14">
        <v>10998754.630000001</v>
      </c>
      <c r="O166" s="14">
        <v>5898754.6299999999</v>
      </c>
      <c r="P166" s="4">
        <v>2.18E-2</v>
      </c>
      <c r="Q166" s="14">
        <v>19182.27</v>
      </c>
      <c r="R166" s="14">
        <v>0</v>
      </c>
      <c r="T166" s="14">
        <v>3805.92</v>
      </c>
      <c r="U166" s="14">
        <v>19182.27</v>
      </c>
      <c r="V166" s="14">
        <f t="shared" si="12"/>
        <v>0</v>
      </c>
      <c r="W166" s="85"/>
      <c r="X166" s="85">
        <f t="shared" si="8"/>
        <v>0</v>
      </c>
      <c r="Y166" s="21">
        <f t="shared" si="9"/>
        <v>6.1845695120019374E-3</v>
      </c>
      <c r="Z166" s="14" t="s">
        <v>179</v>
      </c>
      <c r="AA166" s="55">
        <f t="shared" si="10"/>
        <v>22988.190000000002</v>
      </c>
      <c r="AB166" s="55" t="str">
        <f t="shared" si="11"/>
        <v/>
      </c>
      <c r="AC166" s="55">
        <f t="shared" si="13"/>
        <v>3717023.4654794517</v>
      </c>
    </row>
    <row r="167" spans="1:29">
      <c r="A167" s="1" t="s">
        <v>78</v>
      </c>
      <c r="B167" s="16" t="str">
        <f>INDEX(emprunts!C:C,MATCH($A167,emprunts!A:A,0))</f>
        <v>Dexia CL</v>
      </c>
      <c r="C167" s="18">
        <f>INDEX(emprunts!M:M,MATCH($A167,emprunts!$A:$A,0))</f>
        <v>37772</v>
      </c>
      <c r="D167" s="18">
        <f>IF(INDEX(emprunts!O:O,MATCH($A167,emprunts!$A:$A,0))="",INDEX(emprunts!N:N,MATCH($A167,emprunts!$A:$A,0)),MIN(INDEX(emprunts!N:N,MATCH($A167,emprunts!$A:$A,0)),INDEX(emprunts!O:O,MATCH($A167,emprunts!$A:$A,0))))</f>
        <v>38443</v>
      </c>
      <c r="E167" s="52">
        <f>INDEX(emprunts!I:I,MATCH($A167,emprunts!$A:$A,0))</f>
        <v>20</v>
      </c>
      <c r="F167" s="18" t="str">
        <f>INDEX(emprunts!P:P,MATCH($A167,emprunts!$A:$A,0))</f>
        <v>Barrière</v>
      </c>
      <c r="G167" s="126" t="str">
        <f>IF(LEFT(A167,3)="vx_","vx",INDEX(Categorie,MATCH($A167,emprunts!$A$2:$A$149,0)))</f>
        <v>Struct</v>
      </c>
      <c r="H167" s="6">
        <v>2003</v>
      </c>
      <c r="I167">
        <f t="shared" si="7"/>
        <v>1</v>
      </c>
      <c r="J167" s="4">
        <v>0</v>
      </c>
      <c r="K167" t="s">
        <v>155</v>
      </c>
      <c r="L167" s="5">
        <v>37773</v>
      </c>
      <c r="M167" s="5">
        <v>38139</v>
      </c>
      <c r="N167" s="14">
        <v>4700000</v>
      </c>
      <c r="O167" s="14">
        <v>4700000</v>
      </c>
      <c r="P167" s="4">
        <v>4.4400000000000002E-2</v>
      </c>
      <c r="Q167" s="14">
        <v>18683.79</v>
      </c>
      <c r="R167" s="14">
        <v>0</v>
      </c>
      <c r="S167" s="14"/>
      <c r="T167" s="14">
        <v>123469</v>
      </c>
      <c r="U167" s="14">
        <v>18683.79</v>
      </c>
      <c r="V167" s="14">
        <f t="shared" si="12"/>
        <v>0</v>
      </c>
      <c r="W167" s="85"/>
      <c r="X167" s="85">
        <f t="shared" si="8"/>
        <v>0</v>
      </c>
      <c r="Y167" s="21">
        <f t="shared" si="9"/>
        <v>5.1586566265659183E-2</v>
      </c>
      <c r="Z167" s="14"/>
      <c r="AA167" s="55">
        <f t="shared" si="10"/>
        <v>142152.79</v>
      </c>
      <c r="AB167" s="55" t="str">
        <f t="shared" si="11"/>
        <v/>
      </c>
      <c r="AC167" s="55">
        <f t="shared" si="13"/>
        <v>2755616.4383561644</v>
      </c>
    </row>
    <row r="168" spans="1:29">
      <c r="A168" s="1" t="s">
        <v>79</v>
      </c>
      <c r="B168" s="16" t="str">
        <f>INDEX(emprunts!C:C,MATCH($A168,emprunts!A:A,0))</f>
        <v>Caisse d'Épargne</v>
      </c>
      <c r="C168" s="18">
        <f>INDEX(emprunts!M:M,MATCH($A168,emprunts!$A:$A,0))</f>
        <v>37803</v>
      </c>
      <c r="D168" s="18">
        <f>IF(INDEX(emprunts!O:O,MATCH($A168,emprunts!$A:$A,0))="",INDEX(emprunts!N:N,MATCH($A168,emprunts!$A:$A,0)),MIN(INDEX(emprunts!N:N,MATCH($A168,emprunts!$A:$A,0)),INDEX(emprunts!O:O,MATCH($A168,emprunts!$A:$A,0))))</f>
        <v>38773</v>
      </c>
      <c r="E168" s="52">
        <f>INDEX(emprunts!I:I,MATCH($A168,emprunts!$A:$A,0))</f>
        <v>20</v>
      </c>
      <c r="F168" s="18" t="str">
        <f>INDEX(emprunts!P:P,MATCH($A168,emprunts!$A:$A,0))</f>
        <v>Barrière hors zone EUR</v>
      </c>
      <c r="G168" s="126" t="str">
        <f>IF(LEFT(A168,3)="vx_","vx",INDEX(Categorie,MATCH($A168,emprunts!$A$2:$A$149,0)))</f>
        <v>Struct</v>
      </c>
      <c r="H168" s="6">
        <v>2003</v>
      </c>
      <c r="I168">
        <f t="shared" si="7"/>
        <v>1</v>
      </c>
      <c r="J168" s="4">
        <v>0</v>
      </c>
      <c r="K168" t="s">
        <v>155</v>
      </c>
      <c r="L168" s="5">
        <v>38169</v>
      </c>
      <c r="M168" s="5">
        <v>38169</v>
      </c>
      <c r="N168" s="14">
        <v>842000</v>
      </c>
      <c r="O168" s="14">
        <v>842000</v>
      </c>
      <c r="P168" s="4">
        <v>3.2899999999999999E-2</v>
      </c>
      <c r="Q168" s="14">
        <v>0</v>
      </c>
      <c r="R168" s="14">
        <v>0</v>
      </c>
      <c r="S168" s="14"/>
      <c r="T168" s="14">
        <v>14081.75</v>
      </c>
      <c r="U168" s="14">
        <v>0</v>
      </c>
      <c r="V168" s="14">
        <f t="shared" si="12"/>
        <v>0</v>
      </c>
      <c r="W168" s="85"/>
      <c r="X168" s="85">
        <f t="shared" si="8"/>
        <v>0</v>
      </c>
      <c r="Y168" s="21">
        <f t="shared" si="9"/>
        <v>3.3356948392456155E-2</v>
      </c>
      <c r="Z168" s="14"/>
      <c r="AA168" s="55">
        <f t="shared" si="10"/>
        <v>14081.75</v>
      </c>
      <c r="AB168" s="55" t="str">
        <f t="shared" si="11"/>
        <v/>
      </c>
      <c r="AC168" s="55">
        <f t="shared" si="13"/>
        <v>422153.42465753428</v>
      </c>
    </row>
    <row r="169" spans="1:29">
      <c r="A169" s="1" t="s">
        <v>81</v>
      </c>
      <c r="B169" s="16" t="str">
        <f>INDEX(emprunts!C:C,MATCH($A169,emprunts!A:A,0))</f>
        <v>Caisse d'Épargne</v>
      </c>
      <c r="C169" s="18">
        <f>INDEX(emprunts!M:M,MATCH($A169,emprunts!$A:$A,0))</f>
        <v>37827</v>
      </c>
      <c r="D169" s="18">
        <f>IF(INDEX(emprunts!O:O,MATCH($A169,emprunts!$A:$A,0))="",INDEX(emprunts!N:N,MATCH($A169,emprunts!$A:$A,0)),MIN(INDEX(emprunts!N:N,MATCH($A169,emprunts!$A:$A,0)),INDEX(emprunts!O:O,MATCH($A169,emprunts!$A:$A,0))))</f>
        <v>37980</v>
      </c>
      <c r="E169" s="52">
        <f>INDEX(emprunts!I:I,MATCH($A169,emprunts!$A:$A,0))</f>
        <v>0.5</v>
      </c>
      <c r="F169" s="18" t="str">
        <f>INDEX(emprunts!P:P,MATCH($A169,emprunts!$A:$A,0))</f>
        <v>Variable</v>
      </c>
      <c r="G169" s="126" t="str">
        <f>IF(LEFT(A169,3)="vx_","vx",INDEX(Categorie,MATCH($A169,emprunts!$A$2:$A$149,0)))</f>
        <v>Non_st</v>
      </c>
      <c r="H169" s="6">
        <v>2003</v>
      </c>
      <c r="I169">
        <f t="shared" si="7"/>
        <v>1</v>
      </c>
      <c r="J169" s="4">
        <v>1E-3</v>
      </c>
      <c r="K169" t="s">
        <v>154</v>
      </c>
      <c r="L169" s="5">
        <v>37919</v>
      </c>
      <c r="N169" s="14">
        <v>5000000</v>
      </c>
      <c r="O169" s="14">
        <v>0</v>
      </c>
      <c r="P169" s="4">
        <v>2.2499999999999999E-2</v>
      </c>
      <c r="Q169" s="14">
        <v>47866.66</v>
      </c>
      <c r="R169" s="14">
        <v>5000000</v>
      </c>
      <c r="S169" s="14"/>
      <c r="T169" s="14">
        <v>0</v>
      </c>
      <c r="U169" s="14">
        <v>5047866.66</v>
      </c>
      <c r="V169" s="14">
        <f t="shared" si="12"/>
        <v>0</v>
      </c>
      <c r="W169" s="85"/>
      <c r="X169" s="85">
        <f t="shared" si="8"/>
        <v>0</v>
      </c>
      <c r="Y169" s="21">
        <f t="shared" si="9"/>
        <v>4.5676682091503273E-2</v>
      </c>
      <c r="Z169" s="14"/>
      <c r="AA169" s="55">
        <f t="shared" si="10"/>
        <v>47866.66</v>
      </c>
      <c r="AB169" s="55" t="str">
        <f t="shared" si="11"/>
        <v/>
      </c>
      <c r="AC169" s="55">
        <f t="shared" si="13"/>
        <v>1047945.205479452</v>
      </c>
    </row>
    <row r="170" spans="1:29">
      <c r="A170" s="1" t="s">
        <v>84</v>
      </c>
      <c r="B170" s="16" t="str">
        <f>INDEX(emprunts!C:C,MATCH($A170,emprunts!A:A,0))</f>
        <v>Caisse d'Épargne</v>
      </c>
      <c r="C170" s="18">
        <f>INDEX(emprunts!M:M,MATCH($A170,emprunts!$A:$A,0))</f>
        <v>37865</v>
      </c>
      <c r="D170" s="18">
        <f>IF(INDEX(emprunts!O:O,MATCH($A170,emprunts!$A:$A,0))="",INDEX(emprunts!N:N,MATCH($A170,emprunts!$A:$A,0)),MIN(INDEX(emprunts!N:N,MATCH($A170,emprunts!$A:$A,0)),INDEX(emprunts!O:O,MATCH($A170,emprunts!$A:$A,0))))</f>
        <v>38961</v>
      </c>
      <c r="E170" s="52">
        <f>INDEX(emprunts!I:I,MATCH($A170,emprunts!$A:$A,0))</f>
        <v>3</v>
      </c>
      <c r="F170" s="18" t="str">
        <f>INDEX(emprunts!P:P,MATCH($A170,emprunts!$A:$A,0))</f>
        <v>Fixe</v>
      </c>
      <c r="G170" s="126" t="str">
        <f>IF(LEFT(A170,3)="vx_","vx",INDEX(Categorie,MATCH($A170,emprunts!$A$2:$A$149,0)))</f>
        <v>Non_st</v>
      </c>
      <c r="H170" s="6">
        <v>2003</v>
      </c>
      <c r="I170">
        <f t="shared" si="7"/>
        <v>1</v>
      </c>
      <c r="J170" s="4">
        <v>0</v>
      </c>
      <c r="K170" t="s">
        <v>176</v>
      </c>
      <c r="L170" s="5">
        <v>37895</v>
      </c>
      <c r="M170" s="5">
        <v>37895</v>
      </c>
      <c r="N170" s="14">
        <v>959000</v>
      </c>
      <c r="O170" s="14">
        <v>882238.31</v>
      </c>
      <c r="P170" s="4">
        <v>2.9100000000000001E-2</v>
      </c>
      <c r="Q170" s="14">
        <v>6637.98</v>
      </c>
      <c r="R170" s="14">
        <v>76761.69</v>
      </c>
      <c r="S170" s="14"/>
      <c r="T170" s="14">
        <v>2070.42</v>
      </c>
      <c r="U170" s="14">
        <v>83399.67</v>
      </c>
      <c r="V170" s="14">
        <f t="shared" si="12"/>
        <v>0</v>
      </c>
      <c r="W170" s="85"/>
      <c r="X170" s="85">
        <f t="shared" si="8"/>
        <v>0</v>
      </c>
      <c r="Y170" s="21">
        <f t="shared" si="9"/>
        <v>2.8534210214068122E-2</v>
      </c>
      <c r="Z170" s="14"/>
      <c r="AA170" s="55">
        <f t="shared" si="10"/>
        <v>8708.4</v>
      </c>
      <c r="AB170" s="55" t="str">
        <f t="shared" si="11"/>
        <v/>
      </c>
      <c r="AC170" s="55">
        <f t="shared" si="13"/>
        <v>305191.55549315072</v>
      </c>
    </row>
    <row r="171" spans="1:29">
      <c r="A171" s="1" t="s">
        <v>540</v>
      </c>
      <c r="B171" s="16" t="str">
        <f>INDEX(emprunts!C:C,MATCH($A171,emprunts!A:A,0))</f>
        <v>Crédit Mutuel</v>
      </c>
      <c r="C171" s="18">
        <f>INDEX(emprunts!M:M,MATCH($A171,emprunts!$A:$A,0))</f>
        <v>36495</v>
      </c>
      <c r="D171" s="18">
        <f>IF(INDEX(emprunts!O:O,MATCH($A171,emprunts!$A:$A,0))="",INDEX(emprunts!N:N,MATCH($A171,emprunts!$A:$A,0)),MIN(INDEX(emprunts!N:N,MATCH($A171,emprunts!$A:$A,0)),INDEX(emprunts!O:O,MATCH($A171,emprunts!$A:$A,0))))</f>
        <v>41973</v>
      </c>
      <c r="E171" s="52">
        <f>INDEX(emprunts!I:I,MATCH($A171,emprunts!$A:$A,0))</f>
        <v>15</v>
      </c>
      <c r="F171" s="18" t="str">
        <f>INDEX(emprunts!P:P,MATCH($A171,emprunts!$A:$A,0))</f>
        <v>Fixe à phase</v>
      </c>
      <c r="G171" s="126" t="str">
        <f>IF(LEFT(A171,3)="vx_","vx",INDEX(Categorie,MATCH($A171,emprunts!$A$2:$A$149,0)))</f>
        <v>Non_st</v>
      </c>
      <c r="H171" s="6">
        <v>2004</v>
      </c>
      <c r="I171">
        <f t="shared" si="7"/>
        <v>1</v>
      </c>
      <c r="J171" s="4"/>
      <c r="K171" t="s">
        <v>155</v>
      </c>
      <c r="L171" s="5">
        <v>36860</v>
      </c>
      <c r="M171" s="5">
        <v>36860</v>
      </c>
      <c r="N171" s="14">
        <v>1524490.17</v>
      </c>
      <c r="O171" s="14">
        <v>1284876</v>
      </c>
      <c r="P171" s="4">
        <v>5.5399999999999998E-2</v>
      </c>
      <c r="Q171" s="14">
        <v>76410.66</v>
      </c>
      <c r="R171" s="14">
        <v>94378.14</v>
      </c>
      <c r="S171" s="14"/>
      <c r="T171" s="14">
        <v>6045.6</v>
      </c>
      <c r="U171" s="14">
        <v>170788.8</v>
      </c>
      <c r="V171" s="14">
        <f t="shared" si="12"/>
        <v>0</v>
      </c>
      <c r="W171" s="85"/>
      <c r="X171" s="85">
        <f t="shared" si="8"/>
        <v>0</v>
      </c>
      <c r="Y171" s="21">
        <f t="shared" si="9"/>
        <v>5.7042498682140209E-2</v>
      </c>
      <c r="AA171" s="55">
        <f t="shared" si="10"/>
        <v>75984.320000000007</v>
      </c>
      <c r="AB171" s="55">
        <f t="shared" si="11"/>
        <v>0.13999999989755452</v>
      </c>
      <c r="AC171" s="55">
        <f t="shared" si="13"/>
        <v>1332065.07</v>
      </c>
    </row>
    <row r="172" spans="1:29">
      <c r="A172" s="1" t="s">
        <v>10</v>
      </c>
      <c r="B172" s="16" t="str">
        <f>INDEX(emprunts!C:C,MATCH($A172,emprunts!A:A,0))</f>
        <v>Crédit Mutuel</v>
      </c>
      <c r="C172" s="18">
        <f>INDEX(emprunts!M:M,MATCH($A172,emprunts!$A:$A,0))</f>
        <v>36950</v>
      </c>
      <c r="D172" s="18">
        <f>IF(INDEX(emprunts!O:O,MATCH($A172,emprunts!$A:$A,0))="",INDEX(emprunts!N:N,MATCH($A172,emprunts!$A:$A,0)),MIN(INDEX(emprunts!N:N,MATCH($A172,emprunts!$A:$A,0)),INDEX(emprunts!O:O,MATCH($A172,emprunts!$A:$A,0))))</f>
        <v>42429</v>
      </c>
      <c r="E172" s="52">
        <f>INDEX(emprunts!I:I,MATCH($A172,emprunts!$A:$A,0))</f>
        <v>15</v>
      </c>
      <c r="F172" s="18" t="str">
        <f>INDEX(emprunts!P:P,MATCH($A172,emprunts!$A:$A,0))</f>
        <v>Fixe</v>
      </c>
      <c r="G172" s="126" t="str">
        <f>IF(LEFT(A172,3)="vx_","vx",INDEX(Categorie,MATCH($A172,emprunts!$A$2:$A$149,0)))</f>
        <v>Non_st</v>
      </c>
      <c r="H172" s="6">
        <v>2004</v>
      </c>
      <c r="I172">
        <f t="shared" si="7"/>
        <v>1</v>
      </c>
      <c r="J172" s="4"/>
      <c r="L172" s="5">
        <v>37315</v>
      </c>
      <c r="M172" s="5">
        <v>38045</v>
      </c>
      <c r="N172" s="14">
        <v>609796.06999999995</v>
      </c>
      <c r="O172" s="14">
        <v>562889</v>
      </c>
      <c r="P172" s="4">
        <v>4.99E-2</v>
      </c>
      <c r="Q172" s="14">
        <v>30428.82</v>
      </c>
      <c r="R172" s="14">
        <v>46907.39</v>
      </c>
      <c r="S172" s="14"/>
      <c r="T172" s="14">
        <v>23560.28</v>
      </c>
      <c r="U172" s="14">
        <v>77336.210000000006</v>
      </c>
      <c r="V172" s="14">
        <f t="shared" si="12"/>
        <v>1.4551915228366852E-11</v>
      </c>
      <c r="W172" s="85"/>
      <c r="X172" s="85">
        <f t="shared" si="8"/>
        <v>0</v>
      </c>
      <c r="Y172" s="21">
        <f t="shared" si="9"/>
        <v>4.857041836259255E-2</v>
      </c>
      <c r="Z172" s="14"/>
      <c r="AA172" s="55">
        <f t="shared" si="10"/>
        <v>28478.91</v>
      </c>
      <c r="AB172" s="55">
        <f t="shared" si="11"/>
        <v>0.32000000006519258</v>
      </c>
      <c r="AC172" s="55">
        <f t="shared" si="13"/>
        <v>586342.69499999995</v>
      </c>
    </row>
    <row r="173" spans="1:29">
      <c r="A173" s="1" t="s">
        <v>14</v>
      </c>
      <c r="B173" s="16" t="str">
        <f>INDEX(emprunts!C:C,MATCH($A173,emprunts!A:A,0))</f>
        <v>CDC</v>
      </c>
      <c r="C173" s="18">
        <f>INDEX(emprunts!M:M,MATCH($A173,emprunts!$A:$A,0))</f>
        <v>37006</v>
      </c>
      <c r="D173" s="18">
        <f>IF(INDEX(emprunts!O:O,MATCH($A173,emprunts!$A:$A,0))="",INDEX(emprunts!N:N,MATCH($A173,emprunts!$A:$A,0)),MIN(INDEX(emprunts!N:N,MATCH($A173,emprunts!$A:$A,0)),INDEX(emprunts!O:O,MATCH($A173,emprunts!$A:$A,0))))</f>
        <v>38102</v>
      </c>
      <c r="E173" s="52">
        <f>INDEX(emprunts!I:I,MATCH($A173,emprunts!$A:$A,0))</f>
        <v>3</v>
      </c>
      <c r="F173" s="18" t="str">
        <f>INDEX(emprunts!P:P,MATCH($A173,emprunts!$A:$A,0))</f>
        <v>Fixe</v>
      </c>
      <c r="G173" s="126" t="str">
        <f>IF(LEFT(A173,3)="vx_","vx",INDEX(Categorie,MATCH($A173,emprunts!$A$2:$A$149,0)))</f>
        <v>Non_st</v>
      </c>
      <c r="H173" s="6">
        <v>2004</v>
      </c>
      <c r="I173">
        <f t="shared" si="7"/>
        <v>1</v>
      </c>
      <c r="J173" s="4"/>
      <c r="L173" s="87">
        <v>37006</v>
      </c>
      <c r="M173" s="87">
        <v>37006</v>
      </c>
      <c r="N173" s="14">
        <v>1372041.16</v>
      </c>
      <c r="O173" s="14">
        <v>0</v>
      </c>
      <c r="P173" s="4">
        <v>4.7800000000000002E-2</v>
      </c>
      <c r="Q173" s="14">
        <v>17113.580000000002</v>
      </c>
      <c r="R173" s="14">
        <v>487836.86</v>
      </c>
      <c r="S173" s="14"/>
      <c r="T173" s="14">
        <v>0</v>
      </c>
      <c r="U173" s="14">
        <v>504950.44</v>
      </c>
      <c r="V173" s="14">
        <f t="shared" si="12"/>
        <v>0</v>
      </c>
      <c r="W173" s="85"/>
      <c r="X173" s="85">
        <f t="shared" si="8"/>
        <v>0</v>
      </c>
      <c r="Y173" s="21">
        <f t="shared" si="9"/>
        <v>2.5681899869772783E-2</v>
      </c>
      <c r="Z173" s="14"/>
      <c r="AA173" s="55">
        <f t="shared" si="10"/>
        <v>1973.6800000000021</v>
      </c>
      <c r="AB173" s="55">
        <f t="shared" si="11"/>
        <v>0</v>
      </c>
      <c r="AC173" s="55">
        <f t="shared" si="13"/>
        <v>76851.012191780814</v>
      </c>
    </row>
    <row r="174" spans="1:29">
      <c r="A174" t="s">
        <v>16</v>
      </c>
      <c r="B174" s="16" t="str">
        <f>INDEX(emprunts!C:C,MATCH($A174,emprunts!A:A,0))</f>
        <v>Caisse d'Épargne</v>
      </c>
      <c r="C174" s="18">
        <f>INDEX(emprunts!M:M,MATCH($A174,emprunts!$A:$A,0))</f>
        <v>37189</v>
      </c>
      <c r="D174" s="18">
        <f>IF(INDEX(emprunts!O:O,MATCH($A174,emprunts!$A:$A,0))="",INDEX(emprunts!N:N,MATCH($A174,emprunts!$A:$A,0)),MIN(INDEX(emprunts!N:N,MATCH($A174,emprunts!$A:$A,0)),INDEX(emprunts!O:O,MATCH($A174,emprunts!$A:$A,0))))</f>
        <v>38773</v>
      </c>
      <c r="E174" s="52">
        <f>INDEX(emprunts!I:I,MATCH($A174,emprunts!$A:$A,0))</f>
        <v>19</v>
      </c>
      <c r="F174" s="18" t="str">
        <f>INDEX(emprunts!P:P,MATCH($A174,emprunts!$A:$A,0))</f>
        <v>Pente</v>
      </c>
      <c r="G174" s="126" t="str">
        <f>IF(LEFT(A174,3)="vx_","vx",INDEX(Categorie,MATCH($A174,emprunts!$A$2:$A$149,0)))</f>
        <v>Struct</v>
      </c>
      <c r="H174" s="6">
        <v>2004</v>
      </c>
      <c r="I174">
        <f t="shared" si="7"/>
        <v>1</v>
      </c>
      <c r="J174" s="4"/>
      <c r="L174" s="5"/>
      <c r="M174" s="5"/>
      <c r="N174" s="14">
        <v>11859925.98</v>
      </c>
      <c r="O174" s="14">
        <v>11859925.98</v>
      </c>
      <c r="P174" s="4">
        <v>3.2899999999999999E-2</v>
      </c>
      <c r="Q174" s="14">
        <v>493010.53</v>
      </c>
      <c r="R174" s="14">
        <v>0</v>
      </c>
      <c r="S174" s="14"/>
      <c r="T174" s="14">
        <v>254296.58</v>
      </c>
      <c r="U174" s="14">
        <v>493010.53</v>
      </c>
      <c r="V174" s="14">
        <f t="shared" si="12"/>
        <v>0</v>
      </c>
      <c r="W174" s="85"/>
      <c r="X174" s="85">
        <f t="shared" si="8"/>
        <v>0</v>
      </c>
      <c r="Y174" s="21">
        <f t="shared" si="9"/>
        <v>3.1938906755301685E-2</v>
      </c>
      <c r="Z174" s="14"/>
      <c r="AA174" s="55">
        <f t="shared" si="10"/>
        <v>378793.07</v>
      </c>
      <c r="AB174" s="55">
        <f t="shared" si="11"/>
        <v>0</v>
      </c>
      <c r="AC174" s="55">
        <f t="shared" si="13"/>
        <v>11859925.98</v>
      </c>
    </row>
    <row r="175" spans="1:29">
      <c r="A175" s="1" t="s">
        <v>22</v>
      </c>
      <c r="B175" s="16" t="str">
        <f>INDEX(emprunts!C:C,MATCH($A175,emprunts!A:A,0))</f>
        <v>Dexia CL</v>
      </c>
      <c r="C175" s="18">
        <f>INDEX(emprunts!M:M,MATCH($A175,emprunts!$A:$A,0))</f>
        <v>37221</v>
      </c>
      <c r="D175" s="18">
        <f>IF(INDEX(emprunts!O:O,MATCH($A175,emprunts!$A:$A,0))="",INDEX(emprunts!N:N,MATCH($A175,emprunts!$A:$A,0)),MIN(INDEX(emprunts!N:N,MATCH($A175,emprunts!$A:$A,0)),INDEX(emprunts!O:O,MATCH($A175,emprunts!$A:$A,0))))</f>
        <v>38777</v>
      </c>
      <c r="E175" s="52">
        <f>INDEX(emprunts!I:I,MATCH($A175,emprunts!$A:$A,0))</f>
        <v>20</v>
      </c>
      <c r="F175" s="18" t="str">
        <f>INDEX(emprunts!P:P,MATCH($A175,emprunts!$A:$A,0))</f>
        <v>Annulable</v>
      </c>
      <c r="G175" s="126" t="str">
        <f>IF(LEFT(A175,3)="vx_","vx",INDEX(Categorie,MATCH($A175,emprunts!$A$2:$A$149,0)))</f>
        <v>Struct</v>
      </c>
      <c r="H175" s="6">
        <v>2004</v>
      </c>
      <c r="I175">
        <f t="shared" si="7"/>
        <v>1</v>
      </c>
      <c r="J175" s="4"/>
      <c r="L175" s="5">
        <v>37316</v>
      </c>
      <c r="M175" s="5">
        <v>37316</v>
      </c>
      <c r="N175" s="14"/>
      <c r="O175" s="14">
        <v>2591633</v>
      </c>
      <c r="P175" s="4">
        <v>4.2900000000000001E-2</v>
      </c>
      <c r="Q175" s="14">
        <v>117189.75</v>
      </c>
      <c r="R175" s="14">
        <v>152449</v>
      </c>
      <c r="S175" s="14"/>
      <c r="T175" s="14">
        <v>9265.09</v>
      </c>
      <c r="U175" s="14">
        <v>269638.75</v>
      </c>
      <c r="V175" s="14">
        <f t="shared" si="12"/>
        <v>0</v>
      </c>
      <c r="W175" s="85"/>
      <c r="X175" s="85">
        <f t="shared" si="8"/>
        <v>0</v>
      </c>
      <c r="Y175" s="21">
        <f t="shared" si="9"/>
        <v>4.3722252781492263E-2</v>
      </c>
      <c r="Z175" s="14"/>
      <c r="AA175" s="55">
        <f t="shared" si="10"/>
        <v>116644.73999999999</v>
      </c>
      <c r="AB175" s="55">
        <f t="shared" si="11"/>
        <v>-0.33999999985098839</v>
      </c>
      <c r="AC175" s="55">
        <f t="shared" si="13"/>
        <v>2667857.5</v>
      </c>
    </row>
    <row r="176" spans="1:29">
      <c r="A176" s="1" t="s">
        <v>26</v>
      </c>
      <c r="B176" s="16" t="str">
        <f>INDEX(emprunts!C:C,MATCH($A176,emprunts!A:A,0))</f>
        <v>CDC</v>
      </c>
      <c r="C176" s="18">
        <f>INDEX(emprunts!M:M,MATCH($A176,emprunts!$A:$A,0))</f>
        <v>37281</v>
      </c>
      <c r="D176" s="18">
        <f>IF(INDEX(emprunts!O:O,MATCH($A176,emprunts!$A:$A,0))="",INDEX(emprunts!N:N,MATCH($A176,emprunts!$A:$A,0)),MIN(INDEX(emprunts!N:N,MATCH($A176,emprunts!$A:$A,0)),INDEX(emprunts!O:O,MATCH($A176,emprunts!$A:$A,0))))</f>
        <v>39838</v>
      </c>
      <c r="E176" s="52">
        <f>INDEX(emprunts!I:I,MATCH($A176,emprunts!$A:$A,0))</f>
        <v>7</v>
      </c>
      <c r="F176" s="18" t="str">
        <f>INDEX(emprunts!P:P,MATCH($A176,emprunts!$A:$A,0))</f>
        <v>Fixe</v>
      </c>
      <c r="G176" s="126" t="str">
        <f>IF(LEFT(A176,3)="vx_","vx",INDEX(Categorie,MATCH($A176,emprunts!$A$2:$A$149,0)))</f>
        <v>Non_st</v>
      </c>
      <c r="H176" s="6">
        <v>2004</v>
      </c>
      <c r="I176">
        <f t="shared" si="7"/>
        <v>1</v>
      </c>
      <c r="J176" s="4"/>
      <c r="L176" s="5">
        <v>37646</v>
      </c>
      <c r="M176" s="5">
        <v>37646</v>
      </c>
      <c r="N176" s="14">
        <v>2448751.2200000002</v>
      </c>
      <c r="O176" s="14">
        <v>1833777</v>
      </c>
      <c r="P176" s="4">
        <v>5.0999999999999997E-2</v>
      </c>
      <c r="Q176" s="14">
        <v>109594.4</v>
      </c>
      <c r="R176" s="14">
        <v>315133.28999999998</v>
      </c>
      <c r="S176" s="14"/>
      <c r="T176" s="14">
        <v>87134.45</v>
      </c>
      <c r="U176" s="14">
        <v>424727.69</v>
      </c>
      <c r="V176" s="14">
        <f t="shared" si="12"/>
        <v>5.8207660913467407E-11</v>
      </c>
      <c r="W176" s="85"/>
      <c r="X176" s="85">
        <f t="shared" si="8"/>
        <v>0</v>
      </c>
      <c r="Y176" s="21">
        <f t="shared" si="9"/>
        <v>4.7526161663573631E-2</v>
      </c>
      <c r="Z176" s="14"/>
      <c r="AA176" s="55">
        <f t="shared" si="10"/>
        <v>94640.919999999984</v>
      </c>
      <c r="AB176" s="55">
        <f t="shared" si="11"/>
        <v>0.43999999994412065</v>
      </c>
      <c r="AC176" s="55">
        <f t="shared" si="13"/>
        <v>1991343.645</v>
      </c>
    </row>
    <row r="177" spans="1:29">
      <c r="A177" s="1" t="s">
        <v>28</v>
      </c>
      <c r="B177" s="16" t="str">
        <f>INDEX(emprunts!C:C,MATCH($A177,emprunts!A:A,0))</f>
        <v>CDC</v>
      </c>
      <c r="C177" s="18">
        <f>INDEX(emprunts!M:M,MATCH($A177,emprunts!$A:$A,0))</f>
        <v>37288</v>
      </c>
      <c r="D177" s="18">
        <f>IF(INDEX(emprunts!O:O,MATCH($A177,emprunts!$A:$A,0))="",INDEX(emprunts!N:N,MATCH($A177,emprunts!$A:$A,0)),MIN(INDEX(emprunts!N:N,MATCH($A177,emprunts!$A:$A,0)),INDEX(emprunts!O:O,MATCH($A177,emprunts!$A:$A,0))))</f>
        <v>44593</v>
      </c>
      <c r="E177" s="52">
        <f>INDEX(emprunts!I:I,MATCH($A177,emprunts!$A:$A,0))</f>
        <v>20</v>
      </c>
      <c r="F177" s="18" t="str">
        <f>INDEX(emprunts!P:P,MATCH($A177,emprunts!$A:$A,0))</f>
        <v>Livret A</v>
      </c>
      <c r="G177" s="126" t="str">
        <f>IF(LEFT(A177,3)="vx_","vx",INDEX(Categorie,MATCH($A177,emprunts!$A$2:$A$149,0)))</f>
        <v>Livr_A</v>
      </c>
      <c r="H177" s="6">
        <v>2004</v>
      </c>
      <c r="I177">
        <f t="shared" si="7"/>
        <v>1</v>
      </c>
      <c r="J177" s="4"/>
      <c r="L177" s="5">
        <v>37653</v>
      </c>
      <c r="M177" s="5">
        <v>37653</v>
      </c>
      <c r="N177" s="14">
        <v>2137796</v>
      </c>
      <c r="O177" s="14">
        <v>1976290</v>
      </c>
      <c r="P177" s="4">
        <v>2.2499999999999999E-2</v>
      </c>
      <c r="Q177" s="14">
        <v>61747.09</v>
      </c>
      <c r="R177" s="14">
        <v>81946.38</v>
      </c>
      <c r="S177" s="14"/>
      <c r="T177" s="14">
        <v>40578.75</v>
      </c>
      <c r="U177" s="14">
        <f>SUM(Q177:S177)</f>
        <v>143693.47</v>
      </c>
      <c r="V177" s="14">
        <f t="shared" si="12"/>
        <v>0</v>
      </c>
      <c r="W177" s="85"/>
      <c r="X177" s="85">
        <f t="shared" si="8"/>
        <v>0</v>
      </c>
      <c r="Y177" s="21">
        <f t="shared" si="9"/>
        <v>2.2799300670330477E-2</v>
      </c>
      <c r="Z177" s="14"/>
      <c r="AA177" s="55">
        <f t="shared" si="10"/>
        <v>45992.189999999995</v>
      </c>
      <c r="AB177" s="55">
        <f t="shared" si="11"/>
        <v>-3.0000000027939677E-2</v>
      </c>
      <c r="AC177" s="55">
        <f t="shared" si="13"/>
        <v>2017263.19</v>
      </c>
    </row>
    <row r="178" spans="1:29">
      <c r="A178" s="1" t="s">
        <v>31</v>
      </c>
      <c r="B178" s="16" t="str">
        <f>INDEX(emprunts!C:C,MATCH($A178,emprunts!A:A,0))</f>
        <v>CDC</v>
      </c>
      <c r="C178" s="18">
        <f>INDEX(emprunts!M:M,MATCH($A178,emprunts!$A:$A,0))</f>
        <v>37347</v>
      </c>
      <c r="D178" s="18">
        <f>IF(INDEX(emprunts!O:O,MATCH($A178,emprunts!$A:$A,0))="",INDEX(emprunts!N:N,MATCH($A178,emprunts!$A:$A,0)),MIN(INDEX(emprunts!N:N,MATCH($A178,emprunts!$A:$A,0)),INDEX(emprunts!O:O,MATCH($A178,emprunts!$A:$A,0))))</f>
        <v>44652</v>
      </c>
      <c r="E178" s="52">
        <f>INDEX(emprunts!I:I,MATCH($A178,emprunts!$A:$A,0))</f>
        <v>20</v>
      </c>
      <c r="F178" s="18" t="str">
        <f>INDEX(emprunts!P:P,MATCH($A178,emprunts!$A:$A,0))</f>
        <v>Livret A</v>
      </c>
      <c r="G178" s="126" t="str">
        <f>IF(LEFT(A178,3)="vx_","vx",INDEX(Categorie,MATCH($A178,emprunts!$A$2:$A$149,0)))</f>
        <v>Livr_A</v>
      </c>
      <c r="H178" s="6">
        <v>2004</v>
      </c>
      <c r="I178">
        <f t="shared" si="7"/>
        <v>1</v>
      </c>
      <c r="J178" s="4"/>
      <c r="L178" s="5">
        <v>37712</v>
      </c>
      <c r="M178" s="5">
        <v>37712</v>
      </c>
      <c r="N178" s="14">
        <v>4722409</v>
      </c>
      <c r="O178" s="14">
        <v>4405238</v>
      </c>
      <c r="P178" s="4">
        <v>3.4500000000000003E-2</v>
      </c>
      <c r="Q178" s="14">
        <v>191817.59</v>
      </c>
      <c r="R178" s="14">
        <v>161847.18</v>
      </c>
      <c r="S178" s="14"/>
      <c r="T178" s="14">
        <v>114089.64</v>
      </c>
      <c r="U178" s="14">
        <f>SUM(Q178:S178)</f>
        <v>353664.77</v>
      </c>
      <c r="V178" s="14">
        <f t="shared" si="12"/>
        <v>0</v>
      </c>
      <c r="W178" s="85"/>
      <c r="X178" s="85">
        <f t="shared" si="8"/>
        <v>0</v>
      </c>
      <c r="Y178" s="21">
        <f t="shared" si="9"/>
        <v>3.6179276368865705E-2</v>
      </c>
      <c r="Z178" s="14"/>
      <c r="AA178" s="55">
        <f t="shared" si="10"/>
        <v>162306.07999999999</v>
      </c>
      <c r="AB178" s="55">
        <f t="shared" si="11"/>
        <v>-0.23000000044703484</v>
      </c>
      <c r="AC178" s="55">
        <f t="shared" si="13"/>
        <v>4486161.59</v>
      </c>
    </row>
    <row r="179" spans="1:29">
      <c r="A179" s="1" t="s">
        <v>33</v>
      </c>
      <c r="B179" s="16" t="str">
        <f>INDEX(emprunts!C:C,MATCH($A179,emprunts!A:A,0))</f>
        <v>Crédit Agricole</v>
      </c>
      <c r="C179" s="18">
        <f>INDEX(emprunts!M:M,MATCH($A179,emprunts!$A:$A,0))</f>
        <v>37361</v>
      </c>
      <c r="D179" s="18">
        <f>IF(INDEX(emprunts!O:O,MATCH($A179,emprunts!$A:$A,0))="",INDEX(emprunts!N:N,MATCH($A179,emprunts!$A:$A,0)),MIN(INDEX(emprunts!N:N,MATCH($A179,emprunts!$A:$A,0)),INDEX(emprunts!O:O,MATCH($A179,emprunts!$A:$A,0))))</f>
        <v>42843</v>
      </c>
      <c r="E179" s="52">
        <f>INDEX(emprunts!I:I,MATCH($A179,emprunts!$A:$A,0))</f>
        <v>15</v>
      </c>
      <c r="F179" s="18" t="str">
        <f>INDEX(emprunts!P:P,MATCH($A179,emprunts!$A:$A,0))</f>
        <v>Barrière hors zone EUR</v>
      </c>
      <c r="G179" s="126" t="str">
        <f>IF(LEFT(A179,3)="vx_","vx",INDEX(Categorie,MATCH($A179,emprunts!$A$2:$A$149,0)))</f>
        <v>Struct</v>
      </c>
      <c r="H179" s="6">
        <v>2004</v>
      </c>
      <c r="I179">
        <f t="shared" si="7"/>
        <v>1</v>
      </c>
      <c r="J179" s="4"/>
      <c r="L179" s="5">
        <v>37726</v>
      </c>
      <c r="M179" s="5">
        <v>37726</v>
      </c>
      <c r="N179" s="14">
        <v>13097112.84</v>
      </c>
      <c r="O179" s="14">
        <v>11715839</v>
      </c>
      <c r="P179" s="4">
        <v>3.5000000000000003E-2</v>
      </c>
      <c r="Q179" s="14">
        <v>434642.39</v>
      </c>
      <c r="R179" s="14">
        <v>702515.34</v>
      </c>
      <c r="S179" s="14"/>
      <c r="T179" s="14">
        <v>292093.52</v>
      </c>
      <c r="U179" s="14">
        <v>1137157.73</v>
      </c>
      <c r="V179" s="14">
        <f t="shared" si="12"/>
        <v>0</v>
      </c>
      <c r="W179" s="85"/>
      <c r="X179" s="85">
        <f t="shared" si="8"/>
        <v>0</v>
      </c>
      <c r="Y179" s="21">
        <f t="shared" si="9"/>
        <v>3.8354505036048578E-2</v>
      </c>
      <c r="Z179" s="14"/>
      <c r="AA179" s="55">
        <f t="shared" si="10"/>
        <v>462827.52000000002</v>
      </c>
      <c r="AB179" s="55">
        <f t="shared" si="11"/>
        <v>0.27999999932944775</v>
      </c>
      <c r="AC179" s="55">
        <f t="shared" si="13"/>
        <v>12067096.67</v>
      </c>
    </row>
    <row r="180" spans="1:29">
      <c r="A180" s="1" t="s">
        <v>38</v>
      </c>
      <c r="B180" s="16" t="str">
        <f>INDEX(emprunts!C:C,MATCH($A180,emprunts!A:A,0))</f>
        <v>Dexia CL</v>
      </c>
      <c r="C180" s="18">
        <f>INDEX(emprunts!M:M,MATCH($A180,emprunts!$A:$A,0))</f>
        <v>37377</v>
      </c>
      <c r="D180" s="18">
        <f>IF(INDEX(emprunts!O:O,MATCH($A180,emprunts!$A:$A,0))="",INDEX(emprunts!N:N,MATCH($A180,emprunts!$A:$A,0)),MIN(INDEX(emprunts!N:N,MATCH($A180,emprunts!$A:$A,0)),INDEX(emprunts!O:O,MATCH($A180,emprunts!$A:$A,0))))</f>
        <v>38087</v>
      </c>
      <c r="E180" s="52">
        <f>INDEX(emprunts!I:I,MATCH($A180,emprunts!$A:$A,0))</f>
        <v>17</v>
      </c>
      <c r="F180" s="18" t="str">
        <f>INDEX(emprunts!P:P,MATCH($A180,emprunts!$A:$A,0))</f>
        <v>Barrière</v>
      </c>
      <c r="G180" s="126" t="str">
        <f>IF(LEFT(A180,3)="vx_","vx",INDEX(Categorie,MATCH($A180,emprunts!$A$2:$A$149,0)))</f>
        <v>Struct</v>
      </c>
      <c r="H180" s="6">
        <v>2004</v>
      </c>
      <c r="I180">
        <f t="shared" si="7"/>
        <v>1</v>
      </c>
      <c r="J180" s="4"/>
      <c r="L180" s="5"/>
      <c r="M180" s="5"/>
      <c r="N180" s="14">
        <v>13276172.539999999</v>
      </c>
      <c r="O180" s="14">
        <v>0</v>
      </c>
      <c r="P180" s="4">
        <v>4.9799999999999997E-2</v>
      </c>
      <c r="Q180" s="14">
        <v>344647.14</v>
      </c>
      <c r="R180" s="14">
        <v>0</v>
      </c>
      <c r="S180" s="14"/>
      <c r="T180" s="14">
        <v>0</v>
      </c>
      <c r="U180" s="14">
        <v>344647.14</v>
      </c>
      <c r="V180" s="14">
        <f t="shared" si="12"/>
        <v>0</v>
      </c>
      <c r="W180" s="85"/>
      <c r="X180" s="85">
        <f t="shared" si="8"/>
        <v>12976000</v>
      </c>
      <c r="Y180" s="21">
        <f t="shared" si="9"/>
        <v>5.0997262176325532E-2</v>
      </c>
      <c r="Z180" s="14"/>
      <c r="AA180" s="55">
        <f t="shared" si="10"/>
        <v>181298.76</v>
      </c>
      <c r="AB180" s="55">
        <f t="shared" si="11"/>
        <v>-173</v>
      </c>
      <c r="AC180" s="55">
        <f t="shared" si="13"/>
        <v>3555068.4931506845</v>
      </c>
    </row>
    <row r="181" spans="1:29">
      <c r="A181" s="1" t="s">
        <v>43</v>
      </c>
      <c r="B181" s="16" t="str">
        <f>INDEX(emprunts!C:C,MATCH($A181,emprunts!A:A,0))</f>
        <v>Dexia CL</v>
      </c>
      <c r="C181" s="18">
        <f>INDEX(emprunts!M:M,MATCH($A181,emprunts!$A:$A,0))</f>
        <v>37377</v>
      </c>
      <c r="D181" s="18">
        <f>IF(INDEX(emprunts!O:O,MATCH($A181,emprunts!$A:$A,0))="",INDEX(emprunts!N:N,MATCH($A181,emprunts!$A:$A,0)),MIN(INDEX(emprunts!N:N,MATCH($A181,emprunts!$A:$A,0)),INDEX(emprunts!O:O,MATCH($A181,emprunts!$A:$A,0))))</f>
        <v>38534</v>
      </c>
      <c r="E181" s="52">
        <f>INDEX(emprunts!I:I,MATCH($A181,emprunts!$A:$A,0))</f>
        <v>19.25</v>
      </c>
      <c r="F181" s="18" t="str">
        <f>INDEX(emprunts!P:P,MATCH($A181,emprunts!$A:$A,0))</f>
        <v>Barrière hors zone EUR</v>
      </c>
      <c r="G181" s="126" t="str">
        <f>IF(LEFT(A181,3)="vx_","vx",INDEX(Categorie,MATCH($A181,emprunts!$A$2:$A$149,0)))</f>
        <v>Struct</v>
      </c>
      <c r="H181" s="6">
        <v>2004</v>
      </c>
      <c r="I181">
        <f t="shared" si="7"/>
        <v>1</v>
      </c>
      <c r="J181" s="4"/>
      <c r="L181" s="5"/>
      <c r="M181" s="5"/>
      <c r="N181" s="14">
        <v>4603414.62</v>
      </c>
      <c r="O181" s="14">
        <v>4286415</v>
      </c>
      <c r="P181" s="4">
        <v>4.8300000000000003E-2</v>
      </c>
      <c r="Q181" s="14">
        <v>217763.19</v>
      </c>
      <c r="R181" s="14">
        <v>198000</v>
      </c>
      <c r="S181" s="14"/>
      <c r="T181" s="14">
        <v>34505.629999999997</v>
      </c>
      <c r="U181" s="14">
        <v>415763.19</v>
      </c>
      <c r="V181" s="14">
        <f t="shared" si="12"/>
        <v>0</v>
      </c>
      <c r="W181" s="85"/>
      <c r="X181" s="85">
        <f t="shared" si="8"/>
        <v>0</v>
      </c>
      <c r="Y181" s="21">
        <f t="shared" si="9"/>
        <v>4.9292778448561884E-2</v>
      </c>
      <c r="Z181" s="14"/>
      <c r="AA181" s="55">
        <f t="shared" si="10"/>
        <v>216169.29</v>
      </c>
      <c r="AB181" s="55">
        <f t="shared" si="11"/>
        <v>0.37999999988824129</v>
      </c>
      <c r="AC181" s="55">
        <f t="shared" si="13"/>
        <v>4385415</v>
      </c>
    </row>
    <row r="182" spans="1:29">
      <c r="A182" s="1" t="s">
        <v>46</v>
      </c>
      <c r="B182" s="16" t="str">
        <f>INDEX(emprunts!C:C,MATCH($A182,emprunts!A:A,0))</f>
        <v>Dexia CL</v>
      </c>
      <c r="C182" s="18">
        <f>INDEX(emprunts!M:M,MATCH($A182,emprunts!$A:$A,0))</f>
        <v>37377</v>
      </c>
      <c r="D182" s="18">
        <f>IF(INDEX(emprunts!O:O,MATCH($A182,emprunts!$A:$A,0))="",INDEX(emprunts!N:N,MATCH($A182,emprunts!$A:$A,0)),MIN(INDEX(emprunts!N:N,MATCH($A182,emprunts!$A:$A,0)),INDEX(emprunts!O:O,MATCH($A182,emprunts!$A:$A,0))))</f>
        <v>38087</v>
      </c>
      <c r="E182" s="52">
        <f>INDEX(emprunts!I:I,MATCH($A182,emprunts!$A:$A,0))</f>
        <v>19.25</v>
      </c>
      <c r="F182" s="18" t="str">
        <f>INDEX(emprunts!P:P,MATCH($A182,emprunts!$A:$A,0))</f>
        <v>Barrière hors zone EUR</v>
      </c>
      <c r="G182" s="126" t="str">
        <f>IF(LEFT(A182,3)="vx_","vx",INDEX(Categorie,MATCH($A182,emprunts!$A$2:$A$149,0)))</f>
        <v>Struct</v>
      </c>
      <c r="H182" s="6">
        <v>2004</v>
      </c>
      <c r="I182">
        <f t="shared" si="7"/>
        <v>1</v>
      </c>
      <c r="J182" s="4"/>
      <c r="L182" s="5"/>
      <c r="M182" s="5"/>
      <c r="N182" s="14">
        <v>12864467.300000001</v>
      </c>
      <c r="O182" s="14">
        <v>0</v>
      </c>
      <c r="P182" s="4">
        <v>4.8300000000000003E-2</v>
      </c>
      <c r="Q182" s="14">
        <v>270733.34999999998</v>
      </c>
      <c r="R182" s="14">
        <v>0</v>
      </c>
      <c r="S182" s="14"/>
      <c r="T182" s="14">
        <v>0</v>
      </c>
      <c r="U182" s="14">
        <v>270733.34999999998</v>
      </c>
      <c r="V182" s="14">
        <f t="shared" si="12"/>
        <v>0</v>
      </c>
      <c r="W182" s="85"/>
      <c r="X182" s="85">
        <f t="shared" si="8"/>
        <v>12533000</v>
      </c>
      <c r="Y182" s="21">
        <f t="shared" si="9"/>
        <v>4.946238977100454E-2</v>
      </c>
      <c r="Z182" s="14"/>
      <c r="AA182" s="55">
        <f t="shared" si="10"/>
        <v>169838.93999999997</v>
      </c>
      <c r="AB182" s="55">
        <f t="shared" si="11"/>
        <v>-467.30000000074506</v>
      </c>
      <c r="AC182" s="55">
        <f t="shared" si="13"/>
        <v>3433698.6301369863</v>
      </c>
    </row>
    <row r="183" spans="1:29">
      <c r="A183" s="1" t="s">
        <v>47</v>
      </c>
      <c r="B183" s="16" t="str">
        <f>INDEX(emprunts!C:C,MATCH($A183,emprunts!A:A,0))</f>
        <v>Dexia CL</v>
      </c>
      <c r="C183" s="18">
        <f>INDEX(emprunts!M:M,MATCH($A183,emprunts!$A:$A,0))</f>
        <v>37377</v>
      </c>
      <c r="D183" s="18">
        <f>IF(INDEX(emprunts!O:O,MATCH($A183,emprunts!$A:$A,0))="",INDEX(emprunts!N:N,MATCH($A183,emprunts!$A:$A,0)),MIN(INDEX(emprunts!N:N,MATCH($A183,emprunts!$A:$A,0)),INDEX(emprunts!O:O,MATCH($A183,emprunts!$A:$A,0))))</f>
        <v>38153</v>
      </c>
      <c r="E183" s="52">
        <f>INDEX(emprunts!I:I,MATCH($A183,emprunts!$A:$A,0))</f>
        <v>12</v>
      </c>
      <c r="F183" s="18" t="str">
        <f>INDEX(emprunts!P:P,MATCH($A183,emprunts!$A:$A,0))</f>
        <v>Change</v>
      </c>
      <c r="G183" s="126" t="str">
        <f>IF(LEFT(A183,3)="vx_","vx",INDEX(Categorie,MATCH($A183,emprunts!$A$2:$A$149,0)))</f>
        <v>Struct</v>
      </c>
      <c r="H183" s="6">
        <v>2004</v>
      </c>
      <c r="I183">
        <f t="shared" si="7"/>
        <v>1</v>
      </c>
      <c r="J183" s="4">
        <v>0</v>
      </c>
      <c r="K183" t="s">
        <v>155</v>
      </c>
      <c r="L183" s="5">
        <v>37742</v>
      </c>
      <c r="M183" s="5">
        <v>37742</v>
      </c>
      <c r="N183" s="14">
        <v>9827176.1899999995</v>
      </c>
      <c r="O183" s="14">
        <v>0</v>
      </c>
      <c r="P183" s="4">
        <v>5.2600000000000001E-2</v>
      </c>
      <c r="Q183" s="14">
        <v>532315.61</v>
      </c>
      <c r="R183" s="14">
        <v>378274.6</v>
      </c>
      <c r="S183" s="14"/>
      <c r="T183" s="14">
        <v>0</v>
      </c>
      <c r="U183" s="14">
        <v>910590.21</v>
      </c>
      <c r="V183" s="14">
        <f t="shared" si="12"/>
        <v>0</v>
      </c>
      <c r="W183" s="85">
        <v>50987.349999999627</v>
      </c>
      <c r="X183" s="85">
        <f t="shared" si="8"/>
        <v>8696000</v>
      </c>
      <c r="Y183" s="21">
        <f t="shared" si="9"/>
        <v>6.5801733841415827E-2</v>
      </c>
      <c r="Z183" s="14"/>
      <c r="AA183" s="55">
        <f t="shared" si="10"/>
        <v>265899</v>
      </c>
      <c r="AB183" s="55">
        <f t="shared" si="11"/>
        <v>0</v>
      </c>
      <c r="AC183" s="55">
        <f t="shared" si="13"/>
        <v>4040911.7583561647</v>
      </c>
    </row>
    <row r="184" spans="1:29">
      <c r="A184" s="1" t="s">
        <v>51</v>
      </c>
      <c r="B184" s="16" t="str">
        <f>INDEX(emprunts!C:C,MATCH($A184,emprunts!A:A,0))</f>
        <v>Dexia CL</v>
      </c>
      <c r="C184" s="18">
        <f>INDEX(emprunts!M:M,MATCH($A184,emprunts!$A:$A,0))</f>
        <v>37377</v>
      </c>
      <c r="D184" s="18">
        <f>IF(INDEX(emprunts!O:O,MATCH($A184,emprunts!$A:$A,0))="",INDEX(emprunts!N:N,MATCH($A184,emprunts!$A:$A,0)),MIN(INDEX(emprunts!N:N,MATCH($A184,emprunts!$A:$A,0)),INDEX(emprunts!O:O,MATCH($A184,emprunts!$A:$A,0))))</f>
        <v>38193</v>
      </c>
      <c r="E184" s="52">
        <f>INDEX(emprunts!I:I,MATCH($A184,emprunts!$A:$A,0))</f>
        <v>8</v>
      </c>
      <c r="F184" s="18" t="str">
        <f>INDEX(emprunts!P:P,MATCH($A184,emprunts!$A:$A,0))</f>
        <v>Variable hors zone EUR</v>
      </c>
      <c r="G184" s="126" t="str">
        <f>IF(LEFT(A184,3)="vx_","vx",INDEX(Categorie,MATCH($A184,emprunts!$A$2:$A$149,0)))</f>
        <v>Struct</v>
      </c>
      <c r="H184" s="6">
        <v>2004</v>
      </c>
      <c r="I184">
        <f t="shared" si="7"/>
        <v>1</v>
      </c>
      <c r="J184" s="4"/>
      <c r="L184" s="5"/>
      <c r="M184" s="5"/>
      <c r="N184" s="14">
        <v>5216728.38</v>
      </c>
      <c r="O184" s="14">
        <v>0</v>
      </c>
      <c r="P184" s="4">
        <v>2.07E-2</v>
      </c>
      <c r="Q184" s="14">
        <v>100135.55</v>
      </c>
      <c r="R184" s="14">
        <v>650000</v>
      </c>
      <c r="S184" s="14"/>
      <c r="T184" s="14">
        <v>0</v>
      </c>
      <c r="U184" s="14">
        <v>750135.55</v>
      </c>
      <c r="V184" s="14">
        <f t="shared" si="12"/>
        <v>0</v>
      </c>
      <c r="W184" s="85"/>
      <c r="X184" s="85">
        <f t="shared" si="8"/>
        <v>3917000</v>
      </c>
      <c r="Y184" s="21">
        <f t="shared" si="9"/>
        <v>2.7756744391498788E-2</v>
      </c>
      <c r="Z184" s="14"/>
      <c r="AA184" s="55">
        <f t="shared" si="10"/>
        <v>66452.84</v>
      </c>
      <c r="AB184" s="55">
        <f t="shared" si="11"/>
        <v>271.62000000011176</v>
      </c>
      <c r="AC184" s="55">
        <f t="shared" si="13"/>
        <v>2394115.0684931506</v>
      </c>
    </row>
    <row r="185" spans="1:29">
      <c r="A185" s="1" t="s">
        <v>55</v>
      </c>
      <c r="B185" s="16" t="str">
        <f>INDEX(emprunts!C:C,MATCH($A185,emprunts!A:A,0))</f>
        <v>CDC</v>
      </c>
      <c r="C185" s="18">
        <f>INDEX(emprunts!M:M,MATCH($A185,emprunts!$A:$A,0))</f>
        <v>37530</v>
      </c>
      <c r="D185" s="18">
        <f>IF(INDEX(emprunts!O:O,MATCH($A185,emprunts!$A:$A,0))="",INDEX(emprunts!N:N,MATCH($A185,emprunts!$A:$A,0)),MIN(INDEX(emprunts!N:N,MATCH($A185,emprunts!$A:$A,0)),INDEX(emprunts!O:O,MATCH($A185,emprunts!$A:$A,0))))</f>
        <v>37530</v>
      </c>
      <c r="E185" s="52">
        <f>INDEX(emprunts!I:I,MATCH($A185,emprunts!$A:$A,0))</f>
        <v>20</v>
      </c>
      <c r="F185" s="18" t="str">
        <f>INDEX(emprunts!P:P,MATCH($A185,emprunts!$A:$A,0))</f>
        <v>Livret A</v>
      </c>
      <c r="G185" s="126" t="str">
        <f>IF(LEFT(A185,3)="vx_","vx",INDEX(Categorie,MATCH($A185,emprunts!$A$2:$A$149,0)))</f>
        <v>Livr_A</v>
      </c>
      <c r="H185" s="6">
        <v>2004</v>
      </c>
      <c r="I185">
        <f t="shared" si="7"/>
        <v>1</v>
      </c>
      <c r="J185" s="4"/>
      <c r="L185" s="5"/>
      <c r="M185" s="5"/>
      <c r="N185" s="14"/>
      <c r="O185" s="14">
        <v>1471097</v>
      </c>
      <c r="P185" s="4">
        <v>2.5000000000000001E-2</v>
      </c>
      <c r="Q185" s="14">
        <v>38380.19</v>
      </c>
      <c r="R185" s="14">
        <v>64111.22</v>
      </c>
      <c r="S185" s="14"/>
      <c r="T185" s="14">
        <v>9169.16</v>
      </c>
      <c r="U185" s="14">
        <f>SUM(Q185:S185)</f>
        <v>102491.41</v>
      </c>
      <c r="V185" s="14">
        <f t="shared" si="12"/>
        <v>0</v>
      </c>
      <c r="W185" s="85"/>
      <c r="X185" s="85">
        <f t="shared" si="8"/>
        <v>0</v>
      </c>
      <c r="Y185" s="21" t="e">
        <f t="shared" si="9"/>
        <v>#DIV/0!</v>
      </c>
      <c r="Z185" s="14"/>
      <c r="AA185" s="55">
        <f t="shared" si="10"/>
        <v>38006.730000000003</v>
      </c>
      <c r="AB185" s="55">
        <f t="shared" si="11"/>
        <v>0.47999999998137355</v>
      </c>
      <c r="AC185" s="55">
        <f t="shared" si="13"/>
        <v>0</v>
      </c>
    </row>
    <row r="186" spans="1:29">
      <c r="A186" s="1" t="s">
        <v>57</v>
      </c>
      <c r="B186" s="16" t="str">
        <f>INDEX(emprunts!C:C,MATCH($A186,emprunts!A:A,0))</f>
        <v>Dexia CL</v>
      </c>
      <c r="C186" s="18">
        <f>INDEX(emprunts!M:M,MATCH($A186,emprunts!$A:$A,0))</f>
        <v>37533</v>
      </c>
      <c r="D186" s="18">
        <f>IF(INDEX(emprunts!O:O,MATCH($A186,emprunts!$A:$A,0))="",INDEX(emprunts!N:N,MATCH($A186,emprunts!$A:$A,0)),MIN(INDEX(emprunts!N:N,MATCH($A186,emprunts!$A:$A,0)),INDEX(emprunts!O:O,MATCH($A186,emprunts!$A:$A,0))))</f>
        <v>38193</v>
      </c>
      <c r="E186" s="52">
        <f>INDEX(emprunts!I:I,MATCH($A186,emprunts!$A:$A,0))</f>
        <v>20</v>
      </c>
      <c r="F186" s="18" t="str">
        <f>INDEX(emprunts!P:P,MATCH($A186,emprunts!$A:$A,0))</f>
        <v>Fixe</v>
      </c>
      <c r="G186" s="126" t="str">
        <f>IF(LEFT(A186,3)="vx_","vx",INDEX(Categorie,MATCH($A186,emprunts!$A$2:$A$149,0)))</f>
        <v>Non_st</v>
      </c>
      <c r="H186" s="6">
        <v>2004</v>
      </c>
      <c r="I186">
        <f t="shared" si="7"/>
        <v>1</v>
      </c>
      <c r="J186" s="4"/>
      <c r="L186" s="5"/>
      <c r="M186" s="5"/>
      <c r="N186" s="14">
        <v>3000000</v>
      </c>
      <c r="O186" s="14">
        <v>0</v>
      </c>
      <c r="P186" s="4">
        <v>4.7500000000000001E-2</v>
      </c>
      <c r="Q186" s="14">
        <v>99275</v>
      </c>
      <c r="R186" s="14">
        <v>0</v>
      </c>
      <c r="S186" s="14"/>
      <c r="T186" s="14">
        <v>0</v>
      </c>
      <c r="U186" s="14">
        <v>99275</v>
      </c>
      <c r="V186" s="14">
        <f t="shared" si="12"/>
        <v>0</v>
      </c>
      <c r="W186" s="85"/>
      <c r="X186" s="85">
        <f t="shared" si="8"/>
        <v>2850000</v>
      </c>
      <c r="Y186" s="21">
        <f t="shared" si="9"/>
        <v>4.0793577499574178E-2</v>
      </c>
      <c r="Z186" s="14"/>
      <c r="AA186" s="55">
        <f t="shared" si="10"/>
        <v>65616.19</v>
      </c>
      <c r="AB186" s="55">
        <f t="shared" si="11"/>
        <v>0</v>
      </c>
      <c r="AC186" s="55">
        <f t="shared" si="13"/>
        <v>1608493.1506849315</v>
      </c>
    </row>
    <row r="187" spans="1:29">
      <c r="A187" s="1" t="s">
        <v>59</v>
      </c>
      <c r="B187" s="16" t="str">
        <f>INDEX(emprunts!C:C,MATCH($A187,emprunts!A:A,0))</f>
        <v>CDC</v>
      </c>
      <c r="C187" s="18">
        <f>INDEX(emprunts!M:M,MATCH($A187,emprunts!$A:$A,0))</f>
        <v>37621</v>
      </c>
      <c r="D187" s="18">
        <f>IF(INDEX(emprunts!O:O,MATCH($A187,emprunts!$A:$A,0))="",INDEX(emprunts!N:N,MATCH($A187,emprunts!$A:$A,0)),MIN(INDEX(emprunts!N:N,MATCH($A187,emprunts!$A:$A,0)),INDEX(emprunts!O:O,MATCH($A187,emprunts!$A:$A,0))))</f>
        <v>44927</v>
      </c>
      <c r="E187" s="52">
        <f>INDEX(emprunts!I:I,MATCH($A187,emprunts!$A:$A,0))</f>
        <v>20</v>
      </c>
      <c r="F187" s="18" t="str">
        <f>INDEX(emprunts!P:P,MATCH($A187,emprunts!$A:$A,0))</f>
        <v>Livret A</v>
      </c>
      <c r="G187" s="126" t="str">
        <f>IF(LEFT(A187,3)="vx_","vx",INDEX(Categorie,MATCH($A187,emprunts!$A$2:$A$149,0)))</f>
        <v>Livr_A</v>
      </c>
      <c r="H187" s="6">
        <v>2004</v>
      </c>
      <c r="I187">
        <f t="shared" ref="I187:I248" si="14">1*(C187&lt;DATE(H187,12,31))</f>
        <v>1</v>
      </c>
      <c r="J187" s="4"/>
      <c r="L187" s="5">
        <v>37987</v>
      </c>
      <c r="M187" s="5">
        <v>37987</v>
      </c>
      <c r="N187" s="14">
        <v>4190000</v>
      </c>
      <c r="O187" s="14">
        <v>4052188</v>
      </c>
      <c r="P187" s="4">
        <v>3.4500000000000003E-2</v>
      </c>
      <c r="Q187" s="14">
        <v>164675.82999999999</v>
      </c>
      <c r="R187" s="14">
        <v>137812.26</v>
      </c>
      <c r="S187" s="14"/>
      <c r="T187" s="14">
        <v>139418.51</v>
      </c>
      <c r="U187" s="14">
        <v>302488.09000000003</v>
      </c>
      <c r="V187" s="14">
        <f t="shared" si="12"/>
        <v>5.8207660913467407E-11</v>
      </c>
      <c r="W187" s="85"/>
      <c r="X187" s="85">
        <f t="shared" ref="X187:X248" si="15">SUMPRODUCT((De=$A187)*(année_refi=$H187),Montant_transfere)</f>
        <v>0</v>
      </c>
      <c r="Y187" s="21">
        <f t="shared" ref="Y187:Y248" si="16">IF(AND(AA187&gt;0,YEAR(C187)&lt;=H187),AA187/AC187,"")</f>
        <v>3.3939637287537516E-2</v>
      </c>
      <c r="Z187" s="14"/>
      <c r="AA187" s="55">
        <f t="shared" ref="AA187:AA250" si="17">T187+Q187+S187-SUMPRODUCT(($A$123:$A$1367=$A187)*($H$123:$H$1367=$H187-1),$T$123:$T$1367)</f>
        <v>139868.43999999997</v>
      </c>
      <c r="AB187" s="55">
        <f t="shared" ref="AB187:AB250" si="18">IF(YEAR(C187)=H187,"",O187+R187+X187-W187-SUMPRODUCT(($A$123:$A$1367=$A187)*($H$123:$H$1367=$H187-1),$O$123:$O$1367))</f>
        <v>0.25999999977648258</v>
      </c>
      <c r="AC187" s="55">
        <f t="shared" si="13"/>
        <v>4121094.13</v>
      </c>
    </row>
    <row r="188" spans="1:29">
      <c r="A188" s="1" t="s">
        <v>60</v>
      </c>
      <c r="B188" s="16" t="str">
        <f>INDEX(emprunts!C:C,MATCH($A188,emprunts!A:A,0))</f>
        <v>Dexia CL</v>
      </c>
      <c r="C188" s="18">
        <f>INDEX(emprunts!M:M,MATCH($A188,emprunts!$A:$A,0))</f>
        <v>37622</v>
      </c>
      <c r="D188" s="18">
        <f>IF(INDEX(emprunts!O:O,MATCH($A188,emprunts!$A:$A,0))="",INDEX(emprunts!N:N,MATCH($A188,emprunts!$A:$A,0)),MIN(INDEX(emprunts!N:N,MATCH($A188,emprunts!$A:$A,0)),INDEX(emprunts!O:O,MATCH($A188,emprunts!$A:$A,0))))</f>
        <v>39350</v>
      </c>
      <c r="E188" s="52">
        <f>INDEX(emprunts!I:I,MATCH($A188,emprunts!$A:$A,0))</f>
        <v>14</v>
      </c>
      <c r="F188" s="18" t="str">
        <f>INDEX(emprunts!P:P,MATCH($A188,emprunts!$A:$A,0))</f>
        <v>Barrière hors zone EUR</v>
      </c>
      <c r="G188" s="126" t="str">
        <f>IF(LEFT(A188,3)="vx_","vx",INDEX(Categorie,MATCH($A188,emprunts!$A$2:$A$149,0)))</f>
        <v>Struct</v>
      </c>
      <c r="H188" s="6">
        <v>2004</v>
      </c>
      <c r="I188">
        <f t="shared" si="14"/>
        <v>1</v>
      </c>
      <c r="J188" s="4"/>
      <c r="L188" s="5">
        <v>37987</v>
      </c>
      <c r="M188" s="5">
        <v>37987</v>
      </c>
      <c r="N188" s="14">
        <v>11919139.83</v>
      </c>
      <c r="O188" s="14">
        <v>11351969</v>
      </c>
      <c r="P188" s="4">
        <v>2.2800000000000001E-2</v>
      </c>
      <c r="Q188" s="14">
        <v>272147.07</v>
      </c>
      <c r="R188" s="14">
        <v>567171.18000000005</v>
      </c>
      <c r="S188" s="14"/>
      <c r="T188" s="14">
        <v>262880.06</v>
      </c>
      <c r="U188" s="14">
        <v>839318.25</v>
      </c>
      <c r="V188" s="14">
        <f t="shared" ref="V188:V250" si="19">IF(U188="","",U188-SUM(Q188:S188))</f>
        <v>0</v>
      </c>
      <c r="W188" s="85"/>
      <c r="X188" s="85">
        <f t="shared" si="15"/>
        <v>0</v>
      </c>
      <c r="Y188" s="21">
        <f t="shared" si="16"/>
        <v>2.6954080063320819E-2</v>
      </c>
      <c r="Z188" s="14"/>
      <c r="AA188" s="55">
        <f t="shared" si="17"/>
        <v>313625.67000000004</v>
      </c>
      <c r="AB188" s="55">
        <f t="shared" si="18"/>
        <v>0.34999999962747097</v>
      </c>
      <c r="AC188" s="55">
        <f t="shared" ref="AC188:AC249" si="20">MAX(0,(C188-DATE(H188,1,1))/365)*0+MAX(0,MIN(1,(MIN(DATE(H188,12,31),D188)-MAX(DATE(H188,1,1),C188))/365))*(O188+X188+R188/2)</f>
        <v>11635554.59</v>
      </c>
    </row>
    <row r="189" spans="1:29">
      <c r="A189" s="1" t="s">
        <v>61</v>
      </c>
      <c r="B189" s="16" t="str">
        <f>INDEX(emprunts!C:C,MATCH($A189,emprunts!A:A,0))</f>
        <v>LCL</v>
      </c>
      <c r="C189" s="18">
        <f>INDEX(emprunts!M:M,MATCH($A189,emprunts!$A:$A,0))</f>
        <v>37622</v>
      </c>
      <c r="D189" s="18">
        <f>IF(INDEX(emprunts!O:O,MATCH($A189,emprunts!$A:$A,0))="",INDEX(emprunts!N:N,MATCH($A189,emprunts!$A:$A,0)),MIN(INDEX(emprunts!N:N,MATCH($A189,emprunts!$A:$A,0)),INDEX(emprunts!O:O,MATCH($A189,emprunts!$A:$A,0))))</f>
        <v>37666</v>
      </c>
      <c r="E189" s="52">
        <f>INDEX(emprunts!I:I,MATCH($A189,emprunts!$A:$A,0))</f>
        <v>0.08</v>
      </c>
      <c r="F189" s="18" t="str">
        <f>INDEX(emprunts!P:P,MATCH($A189,emprunts!$A:$A,0))</f>
        <v>Fixe</v>
      </c>
      <c r="G189" s="126" t="str">
        <f>IF(LEFT(A189,3)="vx_","vx",INDEX(Categorie,MATCH($A189,emprunts!$A$2:$A$149,0)))</f>
        <v>Non_st</v>
      </c>
      <c r="H189" s="6">
        <v>2004</v>
      </c>
      <c r="I189">
        <f t="shared" si="14"/>
        <v>1</v>
      </c>
      <c r="J189" s="4"/>
      <c r="L189" s="5"/>
      <c r="M189" s="5"/>
      <c r="N189" s="14"/>
      <c r="O189" s="14"/>
      <c r="P189" s="4"/>
      <c r="Q189" s="14"/>
      <c r="R189" s="14"/>
      <c r="S189" s="14"/>
      <c r="T189" s="14"/>
      <c r="U189" s="14"/>
      <c r="V189" s="14" t="str">
        <f t="shared" si="19"/>
        <v/>
      </c>
      <c r="W189" s="85"/>
      <c r="X189" s="85">
        <f t="shared" si="15"/>
        <v>0</v>
      </c>
      <c r="Y189" s="21" t="str">
        <f t="shared" si="16"/>
        <v/>
      </c>
      <c r="Z189" s="14"/>
      <c r="AA189" s="55">
        <f t="shared" si="17"/>
        <v>0</v>
      </c>
      <c r="AB189" s="55">
        <f t="shared" si="18"/>
        <v>0</v>
      </c>
      <c r="AC189" s="55">
        <f t="shared" si="20"/>
        <v>0</v>
      </c>
    </row>
    <row r="190" spans="1:29">
      <c r="A190" s="1" t="s">
        <v>64</v>
      </c>
      <c r="B190" s="16" t="str">
        <f>INDEX(emprunts!C:C,MATCH($A190,emprunts!A:A,0))</f>
        <v>Dexia CL</v>
      </c>
      <c r="C190" s="18">
        <f>INDEX(emprunts!M:M,MATCH($A190,emprunts!$A:$A,0))</f>
        <v>37681</v>
      </c>
      <c r="D190" s="18">
        <f>IF(INDEX(emprunts!O:O,MATCH($A190,emprunts!$A:$A,0))="",INDEX(emprunts!N:N,MATCH($A190,emprunts!$A:$A,0)),MIN(INDEX(emprunts!N:N,MATCH($A190,emprunts!$A:$A,0)),INDEX(emprunts!O:O,MATCH($A190,emprunts!$A:$A,0))))</f>
        <v>38443</v>
      </c>
      <c r="E190" s="52">
        <f>INDEX(emprunts!I:I,MATCH($A190,emprunts!$A:$A,0))</f>
        <v>15</v>
      </c>
      <c r="F190" s="18" t="str">
        <f>INDEX(emprunts!P:P,MATCH($A190,emprunts!$A:$A,0))</f>
        <v>Barrière</v>
      </c>
      <c r="G190" s="126" t="str">
        <f>IF(LEFT(A190,3)="vx_","vx",INDEX(Categorie,MATCH($A190,emprunts!$A$2:$A$149,0)))</f>
        <v>Struct</v>
      </c>
      <c r="H190" s="6">
        <v>2004</v>
      </c>
      <c r="I190">
        <f t="shared" si="14"/>
        <v>1</v>
      </c>
      <c r="J190" s="4"/>
      <c r="L190" s="5"/>
      <c r="M190" s="5"/>
      <c r="N190" s="14"/>
      <c r="O190" s="14">
        <v>8043814</v>
      </c>
      <c r="P190" s="4">
        <v>4.5499999999999999E-2</v>
      </c>
      <c r="Q190" s="14">
        <v>388797.21</v>
      </c>
      <c r="R190" s="14">
        <v>361098.23999999999</v>
      </c>
      <c r="S190" s="14"/>
      <c r="T190" s="14">
        <v>310077.84000000003</v>
      </c>
      <c r="U190" s="14">
        <v>749895.45</v>
      </c>
      <c r="V190" s="14">
        <f t="shared" si="19"/>
        <v>0</v>
      </c>
      <c r="W190" s="85"/>
      <c r="X190" s="85">
        <f t="shared" si="15"/>
        <v>0</v>
      </c>
      <c r="Y190" s="21">
        <f t="shared" si="16"/>
        <v>5.1089887918275671E-2</v>
      </c>
      <c r="Z190" s="14"/>
      <c r="AA190" s="55">
        <f t="shared" si="17"/>
        <v>420181.79000000004</v>
      </c>
      <c r="AB190" s="55">
        <f t="shared" si="18"/>
        <v>0.49000000022351742</v>
      </c>
      <c r="AC190" s="55">
        <f t="shared" si="20"/>
        <v>8224363.1200000001</v>
      </c>
    </row>
    <row r="191" spans="1:29">
      <c r="A191" s="1" t="s">
        <v>71</v>
      </c>
      <c r="B191" s="16" t="str">
        <f>INDEX(emprunts!C:C,MATCH($A191,emprunts!A:A,0))</f>
        <v>Dexia CL</v>
      </c>
      <c r="C191" s="18">
        <f>INDEX(emprunts!M:M,MATCH($A191,emprunts!$A:$A,0))</f>
        <v>37742</v>
      </c>
      <c r="D191" s="18">
        <f>IF(INDEX(emprunts!O:O,MATCH($A191,emprunts!$A:$A,0))="",INDEX(emprunts!N:N,MATCH($A191,emprunts!$A:$A,0)),MIN(INDEX(emprunts!N:N,MATCH($A191,emprunts!$A:$A,0)),INDEX(emprunts!O:O,MATCH($A191,emprunts!$A:$A,0))))</f>
        <v>38443</v>
      </c>
      <c r="E191" s="52">
        <f>INDEX(emprunts!I:I,MATCH($A191,emprunts!$A:$A,0))</f>
        <v>8</v>
      </c>
      <c r="F191" s="18" t="str">
        <f>INDEX(emprunts!P:P,MATCH($A191,emprunts!$A:$A,0))</f>
        <v>Barrière</v>
      </c>
      <c r="G191" s="126" t="str">
        <f>IF(LEFT(A191,3)="vx_","vx",INDEX(Categorie,MATCH($A191,emprunts!$A$2:$A$149,0)))</f>
        <v>Struct</v>
      </c>
      <c r="H191" s="6">
        <v>2004</v>
      </c>
      <c r="I191">
        <f t="shared" si="14"/>
        <v>1</v>
      </c>
      <c r="J191" s="4"/>
      <c r="L191" s="5"/>
      <c r="M191" s="5"/>
      <c r="N191" s="14"/>
      <c r="O191" s="14">
        <v>2253246</v>
      </c>
      <c r="P191" s="4">
        <v>4.5499999999999999E-2</v>
      </c>
      <c r="Q191" s="14">
        <v>115946.12</v>
      </c>
      <c r="R191" s="14">
        <v>253245.5</v>
      </c>
      <c r="S191" s="14"/>
      <c r="T191" s="14">
        <v>69487.600000000006</v>
      </c>
      <c r="U191" s="14">
        <f>SUM(Q191:S191)</f>
        <v>369191.62</v>
      </c>
      <c r="V191" s="14">
        <f t="shared" si="19"/>
        <v>0</v>
      </c>
      <c r="W191" s="85"/>
      <c r="X191" s="85">
        <f t="shared" si="15"/>
        <v>0</v>
      </c>
      <c r="Y191" s="21">
        <f t="shared" si="16"/>
        <v>4.5437930137954038E-2</v>
      </c>
      <c r="Z191" s="14"/>
      <c r="AA191" s="55">
        <f t="shared" si="17"/>
        <v>108136.31</v>
      </c>
      <c r="AB191" s="55">
        <f t="shared" si="18"/>
        <v>0</v>
      </c>
      <c r="AC191" s="55">
        <f t="shared" si="20"/>
        <v>2379868.75</v>
      </c>
    </row>
    <row r="192" spans="1:29">
      <c r="A192" s="1" t="s">
        <v>72</v>
      </c>
      <c r="B192" s="16" t="str">
        <f>INDEX(emprunts!C:C,MATCH($A192,emprunts!A:A,0))</f>
        <v>Dexia CL</v>
      </c>
      <c r="C192" s="18">
        <f>INDEX(emprunts!M:M,MATCH($A192,emprunts!$A:$A,0))</f>
        <v>37756</v>
      </c>
      <c r="D192" s="18">
        <f>IF(INDEX(emprunts!O:O,MATCH($A192,emprunts!$A:$A,0))="",INDEX(emprunts!N:N,MATCH($A192,emprunts!$A:$A,0)),MIN(INDEX(emprunts!N:N,MATCH($A192,emprunts!$A:$A,0)),INDEX(emprunts!O:O,MATCH($A192,emprunts!$A:$A,0))))</f>
        <v>39539</v>
      </c>
      <c r="E192" s="52">
        <f>INDEX(emprunts!I:I,MATCH($A192,emprunts!$A:$A,0))</f>
        <v>20</v>
      </c>
      <c r="F192" s="18" t="str">
        <f>INDEX(emprunts!P:P,MATCH($A192,emprunts!$A:$A,0))</f>
        <v>Barrière hors zone EUR</v>
      </c>
      <c r="G192" s="126" t="str">
        <f>IF(LEFT(A192,3)="vx_","vx",INDEX(Categorie,MATCH($A192,emprunts!$A$2:$A$149,0)))</f>
        <v>Struct</v>
      </c>
      <c r="H192" s="6">
        <v>2004</v>
      </c>
      <c r="I192">
        <f t="shared" si="14"/>
        <v>1</v>
      </c>
      <c r="J192" s="4"/>
      <c r="L192" s="5">
        <v>37773</v>
      </c>
      <c r="M192" s="5">
        <v>38384</v>
      </c>
      <c r="N192" s="14">
        <v>10998755</v>
      </c>
      <c r="O192" s="89">
        <v>10998755</v>
      </c>
      <c r="P192" s="4">
        <v>3.95E-2</v>
      </c>
      <c r="Q192" s="14">
        <v>8851.9599999999991</v>
      </c>
      <c r="R192" s="14">
        <v>0</v>
      </c>
      <c r="S192" s="14"/>
      <c r="T192" s="14">
        <v>403073.8</v>
      </c>
      <c r="U192" s="14">
        <v>8851.9599999999991</v>
      </c>
      <c r="V192" s="14">
        <f t="shared" si="19"/>
        <v>0</v>
      </c>
      <c r="W192" s="85"/>
      <c r="X192" s="85">
        <f t="shared" si="15"/>
        <v>0</v>
      </c>
      <c r="Y192" s="21">
        <f t="shared" si="16"/>
        <v>3.7106003361289532E-2</v>
      </c>
      <c r="Z192" s="14"/>
      <c r="AA192" s="55">
        <f t="shared" si="17"/>
        <v>408119.84</v>
      </c>
      <c r="AB192" s="55">
        <f t="shared" si="18"/>
        <v>5100000.37</v>
      </c>
      <c r="AC192" s="55">
        <f t="shared" si="20"/>
        <v>10998755</v>
      </c>
    </row>
    <row r="193" spans="1:29">
      <c r="A193" s="1" t="s">
        <v>78</v>
      </c>
      <c r="B193" s="16" t="str">
        <f>INDEX(emprunts!C:C,MATCH($A193,emprunts!A:A,0))</f>
        <v>Dexia CL</v>
      </c>
      <c r="C193" s="18">
        <f>INDEX(emprunts!M:M,MATCH($A193,emprunts!$A:$A,0))</f>
        <v>37772</v>
      </c>
      <c r="D193" s="18">
        <f>IF(INDEX(emprunts!O:O,MATCH($A193,emprunts!$A:$A,0))="",INDEX(emprunts!N:N,MATCH($A193,emprunts!$A:$A,0)),MIN(INDEX(emprunts!N:N,MATCH($A193,emprunts!$A:$A,0)),INDEX(emprunts!O:O,MATCH($A193,emprunts!$A:$A,0))))</f>
        <v>38443</v>
      </c>
      <c r="E193" s="52">
        <f>INDEX(emprunts!I:I,MATCH($A193,emprunts!$A:$A,0))</f>
        <v>20</v>
      </c>
      <c r="F193" s="18" t="str">
        <f>INDEX(emprunts!P:P,MATCH($A193,emprunts!$A:$A,0))</f>
        <v>Barrière</v>
      </c>
      <c r="G193" s="126" t="str">
        <f>IF(LEFT(A193,3)="vx_","vx",INDEX(Categorie,MATCH($A193,emprunts!$A$2:$A$149,0)))</f>
        <v>Struct</v>
      </c>
      <c r="H193" s="6">
        <v>2004</v>
      </c>
      <c r="I193">
        <f t="shared" si="14"/>
        <v>1</v>
      </c>
      <c r="J193" s="4"/>
      <c r="L193" s="5"/>
      <c r="M193" s="5"/>
      <c r="N193" s="14"/>
      <c r="O193" s="14">
        <v>4557860</v>
      </c>
      <c r="P193" s="4">
        <v>4.4400000000000002E-2</v>
      </c>
      <c r="Q193" s="14">
        <v>212158</v>
      </c>
      <c r="R193" s="14">
        <v>142140</v>
      </c>
      <c r="S193" s="14"/>
      <c r="T193" s="14">
        <v>119734.98</v>
      </c>
      <c r="U193" s="14">
        <f>SUM(Q193:S193)</f>
        <v>354298</v>
      </c>
      <c r="V193" s="14">
        <f t="shared" si="19"/>
        <v>0</v>
      </c>
      <c r="W193" s="85"/>
      <c r="X193" s="85">
        <f t="shared" si="15"/>
        <v>0</v>
      </c>
      <c r="Y193" s="21">
        <f t="shared" si="16"/>
        <v>4.5026384067160224E-2</v>
      </c>
      <c r="Z193" s="14"/>
      <c r="AA193" s="55">
        <f t="shared" si="17"/>
        <v>208423.97999999998</v>
      </c>
      <c r="AB193" s="55">
        <f t="shared" si="18"/>
        <v>0</v>
      </c>
      <c r="AC193" s="55">
        <f t="shared" si="20"/>
        <v>4628930</v>
      </c>
    </row>
    <row r="194" spans="1:29">
      <c r="A194" s="1" t="s">
        <v>79</v>
      </c>
      <c r="B194" s="16" t="str">
        <f>INDEX(emprunts!C:C,MATCH($A194,emprunts!A:A,0))</f>
        <v>Caisse d'Épargne</v>
      </c>
      <c r="C194" s="18">
        <f>INDEX(emprunts!M:M,MATCH($A194,emprunts!$A:$A,0))</f>
        <v>37803</v>
      </c>
      <c r="D194" s="18">
        <f>IF(INDEX(emprunts!O:O,MATCH($A194,emprunts!$A:$A,0))="",INDEX(emprunts!N:N,MATCH($A194,emprunts!$A:$A,0)),MIN(INDEX(emprunts!N:N,MATCH($A194,emprunts!$A:$A,0)),INDEX(emprunts!O:O,MATCH($A194,emprunts!$A:$A,0))))</f>
        <v>38773</v>
      </c>
      <c r="E194" s="52">
        <f>INDEX(emprunts!I:I,MATCH($A194,emprunts!$A:$A,0))</f>
        <v>20</v>
      </c>
      <c r="F194" s="18" t="str">
        <f>INDEX(emprunts!P:P,MATCH($A194,emprunts!$A:$A,0))</f>
        <v>Barrière hors zone EUR</v>
      </c>
      <c r="G194" s="126" t="str">
        <f>IF(LEFT(A194,3)="vx_","vx",INDEX(Categorie,MATCH($A194,emprunts!$A$2:$A$149,0)))</f>
        <v>Struct</v>
      </c>
      <c r="H194" s="6">
        <v>2004</v>
      </c>
      <c r="I194">
        <f t="shared" si="14"/>
        <v>1</v>
      </c>
      <c r="J194" s="4"/>
      <c r="L194" s="5"/>
      <c r="M194" s="5"/>
      <c r="N194" s="14">
        <v>842000</v>
      </c>
      <c r="O194" s="14">
        <v>811783</v>
      </c>
      <c r="P194" s="4">
        <v>3.2899999999999999E-2</v>
      </c>
      <c r="Q194" s="14">
        <v>28163.5</v>
      </c>
      <c r="R194" s="14">
        <v>30217.32</v>
      </c>
      <c r="S194" s="14"/>
      <c r="T194" s="14">
        <v>13576.39</v>
      </c>
      <c r="U194" s="14">
        <f>SUM(Q194:S194)</f>
        <v>58380.82</v>
      </c>
      <c r="V194" s="14">
        <f t="shared" si="19"/>
        <v>0</v>
      </c>
      <c r="W194" s="85"/>
      <c r="X194" s="85">
        <f t="shared" si="15"/>
        <v>0</v>
      </c>
      <c r="Y194" s="21">
        <f t="shared" si="16"/>
        <v>3.344832381064286E-2</v>
      </c>
      <c r="Z194" s="14"/>
      <c r="AA194" s="55">
        <f t="shared" si="17"/>
        <v>27658.14</v>
      </c>
      <c r="AB194" s="55">
        <f t="shared" si="18"/>
        <v>0.31999999994877726</v>
      </c>
      <c r="AC194" s="55">
        <f t="shared" si="20"/>
        <v>826891.66</v>
      </c>
    </row>
    <row r="195" spans="1:29">
      <c r="A195" s="1" t="s">
        <v>81</v>
      </c>
      <c r="B195" s="16" t="str">
        <f>INDEX(emprunts!C:C,MATCH($A195,emprunts!A:A,0))</f>
        <v>Caisse d'Épargne</v>
      </c>
      <c r="C195" s="18">
        <f>INDEX(emprunts!M:M,MATCH($A195,emprunts!$A:$A,0))</f>
        <v>37827</v>
      </c>
      <c r="D195" s="18">
        <f>IF(INDEX(emprunts!O:O,MATCH($A195,emprunts!$A:$A,0))="",INDEX(emprunts!N:N,MATCH($A195,emprunts!$A:$A,0)),MIN(INDEX(emprunts!N:N,MATCH($A195,emprunts!$A:$A,0)),INDEX(emprunts!O:O,MATCH($A195,emprunts!$A:$A,0))))</f>
        <v>37980</v>
      </c>
      <c r="E195" s="52">
        <f>INDEX(emprunts!I:I,MATCH($A195,emprunts!$A:$A,0))</f>
        <v>0.5</v>
      </c>
      <c r="F195" s="18" t="str">
        <f>INDEX(emprunts!P:P,MATCH($A195,emprunts!$A:$A,0))</f>
        <v>Variable</v>
      </c>
      <c r="G195" s="126" t="str">
        <f>IF(LEFT(A195,3)="vx_","vx",INDEX(Categorie,MATCH($A195,emprunts!$A$2:$A$149,0)))</f>
        <v>Non_st</v>
      </c>
      <c r="H195" s="6">
        <v>2004</v>
      </c>
      <c r="I195">
        <f t="shared" si="14"/>
        <v>1</v>
      </c>
      <c r="J195" s="4"/>
      <c r="L195" s="5"/>
      <c r="M195" s="5"/>
      <c r="N195" s="14"/>
      <c r="O195" s="14"/>
      <c r="P195" s="4"/>
      <c r="Q195" s="14"/>
      <c r="R195" s="14"/>
      <c r="S195" s="14"/>
      <c r="T195" s="14"/>
      <c r="U195" s="14"/>
      <c r="V195" s="14" t="str">
        <f t="shared" si="19"/>
        <v/>
      </c>
      <c r="W195" s="85"/>
      <c r="X195" s="85">
        <f t="shared" si="15"/>
        <v>0</v>
      </c>
      <c r="Y195" s="21" t="str">
        <f t="shared" si="16"/>
        <v/>
      </c>
      <c r="Z195" s="14"/>
      <c r="AA195" s="55">
        <f t="shared" si="17"/>
        <v>0</v>
      </c>
      <c r="AB195" s="55">
        <f t="shared" si="18"/>
        <v>0</v>
      </c>
      <c r="AC195" s="55">
        <f t="shared" si="20"/>
        <v>0</v>
      </c>
    </row>
    <row r="196" spans="1:29">
      <c r="A196" s="1" t="s">
        <v>84</v>
      </c>
      <c r="B196" s="16" t="str">
        <f>INDEX(emprunts!C:C,MATCH($A196,emprunts!A:A,0))</f>
        <v>Caisse d'Épargne</v>
      </c>
      <c r="C196" s="18">
        <f>INDEX(emprunts!M:M,MATCH($A196,emprunts!$A:$A,0))</f>
        <v>37865</v>
      </c>
      <c r="D196" s="18">
        <f>IF(INDEX(emprunts!O:O,MATCH($A196,emprunts!$A:$A,0))="",INDEX(emprunts!N:N,MATCH($A196,emprunts!$A:$A,0)),MIN(INDEX(emprunts!N:N,MATCH($A196,emprunts!$A:$A,0)),INDEX(emprunts!O:O,MATCH($A196,emprunts!$A:$A,0))))</f>
        <v>38961</v>
      </c>
      <c r="E196" s="52">
        <f>INDEX(emprunts!I:I,MATCH($A196,emprunts!$A:$A,0))</f>
        <v>3</v>
      </c>
      <c r="F196" s="18" t="str">
        <f>INDEX(emprunts!P:P,MATCH($A196,emprunts!$A:$A,0))</f>
        <v>Fixe</v>
      </c>
      <c r="G196" s="126" t="str">
        <f>IF(LEFT(A196,3)="vx_","vx",INDEX(Categorie,MATCH($A196,emprunts!$A$2:$A$149,0)))</f>
        <v>Non_st</v>
      </c>
      <c r="H196" s="6">
        <v>2004</v>
      </c>
      <c r="I196">
        <f t="shared" si="14"/>
        <v>1</v>
      </c>
      <c r="J196" s="4"/>
      <c r="L196" s="5"/>
      <c r="M196" s="5"/>
      <c r="N196" s="14"/>
      <c r="O196" s="14">
        <v>569553</v>
      </c>
      <c r="P196" s="4">
        <v>2.9100000000000001E-2</v>
      </c>
      <c r="Q196" s="14">
        <v>21524.58</v>
      </c>
      <c r="R196" s="14">
        <v>312685.31</v>
      </c>
      <c r="S196" s="14"/>
      <c r="T196" s="14">
        <v>1336.51</v>
      </c>
      <c r="U196" s="14">
        <f>SUM(Q196:S196)</f>
        <v>334209.89</v>
      </c>
      <c r="V196" s="14">
        <f t="shared" si="19"/>
        <v>0</v>
      </c>
      <c r="W196" s="85"/>
      <c r="X196" s="85">
        <f t="shared" si="15"/>
        <v>0</v>
      </c>
      <c r="Y196" s="21">
        <f t="shared" si="16"/>
        <v>2.8641403012668532E-2</v>
      </c>
      <c r="Z196" s="14"/>
      <c r="AA196" s="55">
        <f t="shared" si="17"/>
        <v>20790.669999999998</v>
      </c>
      <c r="AB196" s="55">
        <f t="shared" si="18"/>
        <v>0</v>
      </c>
      <c r="AC196" s="55">
        <f t="shared" si="20"/>
        <v>725895.65500000003</v>
      </c>
    </row>
    <row r="197" spans="1:29">
      <c r="A197" s="1" t="s">
        <v>86</v>
      </c>
      <c r="B197" s="16" t="str">
        <f>INDEX(emprunts!C:C,MATCH($A197,emprunts!A:A,0))</f>
        <v>Caisse d'Épargne</v>
      </c>
      <c r="C197" s="18">
        <f>INDEX(emprunts!M:M,MATCH($A197,emprunts!$A:$A,0))</f>
        <v>38022</v>
      </c>
      <c r="D197" s="18">
        <f>IF(INDEX(emprunts!O:O,MATCH($A197,emprunts!$A:$A,0))="",INDEX(emprunts!N:N,MATCH($A197,emprunts!$A:$A,0)),MIN(INDEX(emprunts!N:N,MATCH($A197,emprunts!$A:$A,0)),INDEX(emprunts!O:O,MATCH($A197,emprunts!$A:$A,0))))</f>
        <v>40719</v>
      </c>
      <c r="E197" s="52">
        <f>INDEX(emprunts!I:I,MATCH($A197,emprunts!$A:$A,0))</f>
        <v>7</v>
      </c>
      <c r="F197" s="18" t="str">
        <f>INDEX(emprunts!P:P,MATCH($A197,emprunts!$A:$A,0))</f>
        <v>Fixe</v>
      </c>
      <c r="G197" s="126" t="str">
        <f>IF(LEFT(A197,3)="vx_","vx",INDEX(Categorie,MATCH($A197,emprunts!$A$2:$A$149,0)))</f>
        <v>Non_st</v>
      </c>
      <c r="H197" s="6">
        <v>2004</v>
      </c>
      <c r="I197">
        <f t="shared" si="14"/>
        <v>1</v>
      </c>
      <c r="J197" s="4"/>
      <c r="L197" s="5">
        <v>38163</v>
      </c>
      <c r="M197" s="5">
        <v>38163</v>
      </c>
      <c r="N197" s="14">
        <v>4324063.92</v>
      </c>
      <c r="O197" s="14">
        <v>3763305</v>
      </c>
      <c r="P197" s="4">
        <v>3.7999999999999999E-2</v>
      </c>
      <c r="Q197" s="14">
        <v>61617.91</v>
      </c>
      <c r="R197" s="14">
        <v>560758.78</v>
      </c>
      <c r="S197" s="14"/>
      <c r="T197" s="14">
        <v>74049.48</v>
      </c>
      <c r="U197" s="14">
        <f>SUM(Q197:S197)</f>
        <v>622376.69000000006</v>
      </c>
      <c r="V197" s="14">
        <f t="shared" si="19"/>
        <v>0</v>
      </c>
      <c r="W197" s="85"/>
      <c r="X197" s="85">
        <f t="shared" si="15"/>
        <v>0</v>
      </c>
      <c r="Y197" s="21">
        <f t="shared" si="16"/>
        <v>3.710881986169564E-2</v>
      </c>
      <c r="Z197" s="14"/>
      <c r="AA197" s="55">
        <f t="shared" si="17"/>
        <v>135667.39000000001</v>
      </c>
      <c r="AB197" s="55" t="str">
        <f t="shared" si="18"/>
        <v/>
      </c>
      <c r="AC197" s="55">
        <f t="shared" si="20"/>
        <v>3655933.8320547943</v>
      </c>
    </row>
    <row r="198" spans="1:29">
      <c r="A198" s="1" t="s">
        <v>88</v>
      </c>
      <c r="B198" s="16" t="str">
        <f>INDEX(emprunts!C:C,MATCH($A198,emprunts!A:A,0))</f>
        <v>Dexia CL</v>
      </c>
      <c r="C198" s="18">
        <f>INDEX(emprunts!M:M,MATCH($A198,emprunts!$A:$A,0))</f>
        <v>38077</v>
      </c>
      <c r="D198" s="18">
        <f>IF(INDEX(emprunts!O:O,MATCH($A198,emprunts!$A:$A,0))="",INDEX(emprunts!N:N,MATCH($A198,emprunts!$A:$A,0)),MIN(INDEX(emprunts!N:N,MATCH($A198,emprunts!$A:$A,0)),INDEX(emprunts!O:O,MATCH($A198,emprunts!$A:$A,0))))</f>
        <v>39173</v>
      </c>
      <c r="E198" s="52">
        <f>INDEX(emprunts!I:I,MATCH($A198,emprunts!$A:$A,0))</f>
        <v>3</v>
      </c>
      <c r="F198" s="18" t="str">
        <f>INDEX(emprunts!P:P,MATCH($A198,emprunts!$A:$A,0))</f>
        <v>Fixe</v>
      </c>
      <c r="G198" s="126" t="str">
        <f>IF(LEFT(A198,3)="vx_","vx",INDEX(Categorie,MATCH($A198,emprunts!$A$2:$A$149,0)))</f>
        <v>Non_st</v>
      </c>
      <c r="H198" s="6">
        <v>2004</v>
      </c>
      <c r="I198">
        <f t="shared" si="14"/>
        <v>1</v>
      </c>
      <c r="J198" s="4"/>
      <c r="L198" s="5"/>
      <c r="M198" s="5"/>
      <c r="N198" s="14">
        <v>177894</v>
      </c>
      <c r="O198" s="14">
        <v>177894</v>
      </c>
      <c r="P198" s="4">
        <v>2.7E-2</v>
      </c>
      <c r="Q198" s="14">
        <v>0</v>
      </c>
      <c r="R198" s="14">
        <v>0</v>
      </c>
      <c r="S198" s="14"/>
      <c r="T198" s="14">
        <v>4008.6</v>
      </c>
      <c r="U198" s="14">
        <v>0</v>
      </c>
      <c r="V198" s="14">
        <f t="shared" si="19"/>
        <v>0</v>
      </c>
      <c r="W198" s="85"/>
      <c r="X198" s="85">
        <f t="shared" si="15"/>
        <v>0</v>
      </c>
      <c r="Y198" s="21">
        <f t="shared" si="16"/>
        <v>2.9908290636814362E-2</v>
      </c>
      <c r="Z198" s="14"/>
      <c r="AA198" s="55">
        <f t="shared" si="17"/>
        <v>4008.6</v>
      </c>
      <c r="AB198" s="55" t="str">
        <f t="shared" si="18"/>
        <v/>
      </c>
      <c r="AC198" s="55">
        <f t="shared" si="20"/>
        <v>134029.72602739726</v>
      </c>
    </row>
    <row r="199" spans="1:29">
      <c r="A199" s="1" t="s">
        <v>90</v>
      </c>
      <c r="B199" s="16" t="str">
        <f>INDEX(emprunts!C:C,MATCH($A199,emprunts!A:A,0))</f>
        <v>Dexia CL</v>
      </c>
      <c r="C199" s="18">
        <f>INDEX(emprunts!M:M,MATCH($A199,emprunts!$A:$A,0))</f>
        <v>38087</v>
      </c>
      <c r="D199" s="18">
        <f>IF(INDEX(emprunts!O:O,MATCH($A199,emprunts!$A:$A,0))="",INDEX(emprunts!N:N,MATCH($A199,emprunts!$A:$A,0)),MIN(INDEX(emprunts!N:N,MATCH($A199,emprunts!$A:$A,0)),INDEX(emprunts!O:O,MATCH($A199,emprunts!$A:$A,0))))</f>
        <v>38687</v>
      </c>
      <c r="E199" s="52">
        <f>INDEX(emprunts!I:I,MATCH($A199,emprunts!$A:$A,0))</f>
        <v>17.75</v>
      </c>
      <c r="F199" s="18" t="str">
        <f>INDEX(emprunts!P:P,MATCH($A199,emprunts!$A:$A,0))</f>
        <v>Barrière avec multiplicateur</v>
      </c>
      <c r="G199" s="126" t="str">
        <f>IF(LEFT(A199,3)="vx_","vx",INDEX(Categorie,MATCH($A199,emprunts!$A$2:$A$149,0)))</f>
        <v>Struct</v>
      </c>
      <c r="H199" s="6">
        <v>2004</v>
      </c>
      <c r="I199">
        <f t="shared" si="14"/>
        <v>1</v>
      </c>
      <c r="J199" s="4"/>
      <c r="L199" s="5"/>
      <c r="M199" s="5"/>
      <c r="N199" s="14"/>
      <c r="O199" s="14">
        <v>13211467</v>
      </c>
      <c r="P199" s="4">
        <v>4.24E-2</v>
      </c>
      <c r="Q199" s="14">
        <v>377344.07</v>
      </c>
      <c r="R199" s="14">
        <v>422000</v>
      </c>
      <c r="S199" s="14"/>
      <c r="T199" s="14">
        <v>46680.52</v>
      </c>
      <c r="U199" s="14">
        <f>SUM(P199:S199)</f>
        <v>799344.11239999998</v>
      </c>
      <c r="V199" s="14">
        <f t="shared" si="19"/>
        <v>4.2399999918416142E-2</v>
      </c>
      <c r="W199" s="85"/>
      <c r="X199" s="85">
        <f t="shared" si="15"/>
        <v>0</v>
      </c>
      <c r="Y199" s="21">
        <f t="shared" si="16"/>
        <v>4.3511663634209947E-2</v>
      </c>
      <c r="Z199" s="14"/>
      <c r="AA199" s="55">
        <f t="shared" si="17"/>
        <v>424024.59</v>
      </c>
      <c r="AB199" s="55" t="str">
        <f t="shared" si="18"/>
        <v/>
      </c>
      <c r="AC199" s="55">
        <f t="shared" si="20"/>
        <v>9745078.7808219176</v>
      </c>
    </row>
    <row r="200" spans="1:29">
      <c r="A200" s="1" t="s">
        <v>96</v>
      </c>
      <c r="B200" s="16" t="str">
        <f>INDEX(emprunts!C:C,MATCH($A200,emprunts!A:A,0))</f>
        <v>Dexia CL</v>
      </c>
      <c r="C200" s="18">
        <f>INDEX(emprunts!M:M,MATCH($A200,emprunts!$A:$A,0))</f>
        <v>38087</v>
      </c>
      <c r="D200" s="18">
        <f>IF(INDEX(emprunts!O:O,MATCH($A200,emprunts!$A:$A,0))="",INDEX(emprunts!N:N,MATCH($A200,emprunts!$A:$A,0)),MIN(INDEX(emprunts!N:N,MATCH($A200,emprunts!$A:$A,0)),INDEX(emprunts!O:O,MATCH($A200,emprunts!$A:$A,0))))</f>
        <v>38534</v>
      </c>
      <c r="E200" s="52">
        <f>INDEX(emprunts!I:I,MATCH($A200,emprunts!$A:$A,0))</f>
        <v>15</v>
      </c>
      <c r="F200" s="18" t="str">
        <f>INDEX(emprunts!P:P,MATCH($A200,emprunts!$A:$A,0))</f>
        <v>Barrière hors zone EUR</v>
      </c>
      <c r="G200" s="126" t="str">
        <f>IF(LEFT(A200,3)="vx_","vx",INDEX(Categorie,MATCH($A200,emprunts!$A$2:$A$149,0)))</f>
        <v>Struct</v>
      </c>
      <c r="H200" s="6">
        <v>2004</v>
      </c>
      <c r="I200">
        <f t="shared" si="14"/>
        <v>1</v>
      </c>
      <c r="J200" s="4"/>
      <c r="L200" s="5"/>
      <c r="M200" s="5"/>
      <c r="N200" s="14">
        <v>12976173</v>
      </c>
      <c r="O200" s="14">
        <v>12976173</v>
      </c>
      <c r="P200" s="4">
        <v>4.8300000000000003E-2</v>
      </c>
      <c r="Q200" s="14">
        <v>0</v>
      </c>
      <c r="R200" s="14">
        <v>0</v>
      </c>
      <c r="S200" s="14"/>
      <c r="T200" s="14">
        <v>461357</v>
      </c>
      <c r="U200" s="14">
        <v>0</v>
      </c>
      <c r="V200" s="14">
        <f t="shared" si="19"/>
        <v>0</v>
      </c>
      <c r="W200" s="85"/>
      <c r="X200" s="85">
        <f t="shared" si="15"/>
        <v>0</v>
      </c>
      <c r="Y200" s="21">
        <f t="shared" si="16"/>
        <v>4.8970831471811867E-2</v>
      </c>
      <c r="Z200" s="14"/>
      <c r="AA200" s="55">
        <f t="shared" si="17"/>
        <v>461357</v>
      </c>
      <c r="AB200" s="55" t="str">
        <f t="shared" si="18"/>
        <v/>
      </c>
      <c r="AC200" s="55">
        <f t="shared" si="20"/>
        <v>9421057.1095890421</v>
      </c>
    </row>
    <row r="201" spans="1:29">
      <c r="A201" s="1" t="s">
        <v>98</v>
      </c>
      <c r="B201" s="16" t="str">
        <f>INDEX(emprunts!C:C,MATCH($A201,emprunts!A:A,0))</f>
        <v>Dexia CL</v>
      </c>
      <c r="C201" s="18">
        <f>INDEX(emprunts!M:M,MATCH($A201,emprunts!$A:$A,0))</f>
        <v>38092</v>
      </c>
      <c r="D201" s="18">
        <f>IF(INDEX(emprunts!O:O,MATCH($A201,emprunts!$A:$A,0))="",INDEX(emprunts!N:N,MATCH($A201,emprunts!$A:$A,0)),MIN(INDEX(emprunts!N:N,MATCH($A201,emprunts!$A:$A,0)),INDEX(emprunts!O:O,MATCH($A201,emprunts!$A:$A,0))))</f>
        <v>38443</v>
      </c>
      <c r="E201" s="52">
        <f>INDEX(emprunts!I:I,MATCH($A201,emprunts!$A:$A,0))</f>
        <v>15</v>
      </c>
      <c r="F201" s="18" t="str">
        <f>INDEX(emprunts!P:P,MATCH($A201,emprunts!$A:$A,0))</f>
        <v>Variable hors zone EUR</v>
      </c>
      <c r="G201" s="126" t="str">
        <f>IF(LEFT(A201,3)="vx_","vx",INDEX(Categorie,MATCH($A201,emprunts!$A$2:$A$149,0)))</f>
        <v>Struct</v>
      </c>
      <c r="H201" s="6">
        <v>2004</v>
      </c>
      <c r="I201">
        <f t="shared" si="14"/>
        <v>1</v>
      </c>
      <c r="J201" s="4"/>
      <c r="L201" s="5"/>
      <c r="M201" s="5"/>
      <c r="N201" s="14"/>
      <c r="O201" s="14">
        <v>3470494</v>
      </c>
      <c r="P201" s="4">
        <v>2.1499999999999998E-2</v>
      </c>
      <c r="Q201" s="14">
        <v>4316.5</v>
      </c>
      <c r="R201" s="14">
        <v>0</v>
      </c>
      <c r="S201" s="14"/>
      <c r="T201" s="14">
        <v>3432.14</v>
      </c>
      <c r="U201" s="14">
        <v>4316.5</v>
      </c>
      <c r="V201" s="14">
        <f t="shared" si="19"/>
        <v>0</v>
      </c>
      <c r="W201" s="85"/>
      <c r="X201" s="85">
        <f t="shared" si="15"/>
        <v>0</v>
      </c>
      <c r="Y201" s="21">
        <f t="shared" si="16"/>
        <v>3.1343948329945136E-3</v>
      </c>
      <c r="Z201" s="14" t="s">
        <v>664</v>
      </c>
      <c r="AA201" s="55">
        <f t="shared" si="17"/>
        <v>7748.6399999999994</v>
      </c>
      <c r="AB201" s="55" t="str">
        <f t="shared" si="18"/>
        <v/>
      </c>
      <c r="AC201" s="55">
        <f t="shared" si="20"/>
        <v>2472132.7123287669</v>
      </c>
    </row>
    <row r="202" spans="1:29">
      <c r="A202" s="1" t="s">
        <v>101</v>
      </c>
      <c r="B202" s="16" t="str">
        <f>INDEX(emprunts!C:C,MATCH($A202,emprunts!A:A,0))</f>
        <v>Dexia CL</v>
      </c>
      <c r="C202" s="18">
        <f>INDEX(emprunts!M:M,MATCH($A202,emprunts!$A:$A,0))</f>
        <v>38106</v>
      </c>
      <c r="D202" s="18">
        <f>IF(INDEX(emprunts!O:O,MATCH($A202,emprunts!$A:$A,0))="",INDEX(emprunts!N:N,MATCH($A202,emprunts!$A:$A,0)),MIN(INDEX(emprunts!N:N,MATCH($A202,emprunts!$A:$A,0)),INDEX(emprunts!O:O,MATCH($A202,emprunts!$A:$A,0))))</f>
        <v>39203</v>
      </c>
      <c r="E202" s="52">
        <f>INDEX(emprunts!I:I,MATCH($A202,emprunts!$A:$A,0))</f>
        <v>21</v>
      </c>
      <c r="F202" s="18" t="str">
        <f>INDEX(emprunts!P:P,MATCH($A202,emprunts!$A:$A,0))</f>
        <v>Barrière</v>
      </c>
      <c r="G202" s="126" t="str">
        <f>IF(LEFT(A202,3)="vx_","vx",INDEX(Categorie,MATCH($A202,emprunts!$A$2:$A$149,0)))</f>
        <v>Struct</v>
      </c>
      <c r="H202" s="6">
        <v>2004</v>
      </c>
      <c r="I202">
        <f t="shared" si="14"/>
        <v>1</v>
      </c>
      <c r="J202" s="4"/>
      <c r="L202" s="5"/>
      <c r="M202" s="5"/>
      <c r="N202" s="14">
        <v>8000000</v>
      </c>
      <c r="O202" s="14">
        <v>8000000</v>
      </c>
      <c r="P202" s="4">
        <v>4.0399999999999998E-2</v>
      </c>
      <c r="Q202" s="14">
        <v>968.89</v>
      </c>
      <c r="R202" s="14">
        <v>0</v>
      </c>
      <c r="S202" s="14"/>
      <c r="T202" s="14">
        <v>219057.78</v>
      </c>
      <c r="U202" s="14">
        <v>968.89</v>
      </c>
      <c r="V202" s="14">
        <f t="shared" si="19"/>
        <v>0</v>
      </c>
      <c r="W202" s="85"/>
      <c r="X202" s="85">
        <f t="shared" si="15"/>
        <v>0</v>
      </c>
      <c r="Y202" s="21">
        <f t="shared" si="16"/>
        <v>4.0807791946138212E-2</v>
      </c>
      <c r="AA202" s="55">
        <f t="shared" si="17"/>
        <v>220026.67</v>
      </c>
      <c r="AB202" s="55" t="str">
        <f t="shared" si="18"/>
        <v/>
      </c>
      <c r="AC202" s="55">
        <f t="shared" si="20"/>
        <v>5391780.8219178086</v>
      </c>
    </row>
    <row r="203" spans="1:29">
      <c r="A203" s="1" t="s">
        <v>105</v>
      </c>
      <c r="B203" s="16" t="str">
        <f>INDEX(emprunts!C:C,MATCH($A203,emprunts!A:A,0))</f>
        <v>Dexia CL</v>
      </c>
      <c r="C203" s="18">
        <f>INDEX(emprunts!M:M,MATCH($A203,emprunts!$A:$A,0))</f>
        <v>38153</v>
      </c>
      <c r="D203" s="18">
        <f>IF(INDEX(emprunts!O:O,MATCH($A203,emprunts!$A:$A,0))="",INDEX(emprunts!N:N,MATCH($A203,emprunts!$A:$A,0)),MIN(INDEX(emprunts!N:N,MATCH($A203,emprunts!$A:$A,0)),INDEX(emprunts!O:O,MATCH($A203,emprunts!$A:$A,0))))</f>
        <v>38384</v>
      </c>
      <c r="E203" s="52">
        <f>INDEX(emprunts!I:I,MATCH($A203,emprunts!$A:$A,0))</f>
        <v>10</v>
      </c>
      <c r="F203" s="18" t="str">
        <f>INDEX(emprunts!P:P,MATCH($A203,emprunts!$A:$A,0))</f>
        <v>Change</v>
      </c>
      <c r="G203" s="126" t="str">
        <f>IF(LEFT(A203,3)="vx_","vx",INDEX(Categorie,MATCH($A203,emprunts!$A$2:$A$149,0)))</f>
        <v>Struct</v>
      </c>
      <c r="H203" s="6">
        <v>2004</v>
      </c>
      <c r="I203">
        <f t="shared" si="14"/>
        <v>1</v>
      </c>
      <c r="J203" s="4"/>
      <c r="L203" s="5"/>
      <c r="M203" s="5"/>
      <c r="N203" s="14">
        <v>9527785</v>
      </c>
      <c r="O203" s="14">
        <v>9527785</v>
      </c>
      <c r="P203" s="4">
        <v>4.9200000000000001E-2</v>
      </c>
      <c r="Q203" s="14">
        <v>0</v>
      </c>
      <c r="R203" s="14">
        <v>0</v>
      </c>
      <c r="S203" s="14"/>
      <c r="T203" s="14">
        <v>123205.23</v>
      </c>
      <c r="U203" s="14">
        <v>0</v>
      </c>
      <c r="V203" s="14">
        <f t="shared" si="19"/>
        <v>0</v>
      </c>
      <c r="W203" s="85"/>
      <c r="X203" s="85">
        <f t="shared" si="15"/>
        <v>0</v>
      </c>
      <c r="Y203" s="21">
        <f t="shared" si="16"/>
        <v>2.3717940944280227E-2</v>
      </c>
      <c r="AA203" s="55">
        <f t="shared" si="17"/>
        <v>123205.23</v>
      </c>
      <c r="AB203" s="55" t="str">
        <f t="shared" si="18"/>
        <v/>
      </c>
      <c r="AC203" s="55">
        <f t="shared" si="20"/>
        <v>5194600.5890410962</v>
      </c>
    </row>
    <row r="204" spans="1:29">
      <c r="A204" s="1" t="s">
        <v>108</v>
      </c>
      <c r="B204" s="16" t="str">
        <f>INDEX(emprunts!C:C,MATCH($A204,emprunts!A:A,0))</f>
        <v>Dexia CL</v>
      </c>
      <c r="C204" s="18">
        <f>INDEX(emprunts!M:M,MATCH($A204,emprunts!$A:$A,0))</f>
        <v>38193</v>
      </c>
      <c r="D204" s="18">
        <f>IF(INDEX(emprunts!O:O,MATCH($A204,emprunts!$A:$A,0))="",INDEX(emprunts!N:N,MATCH($A204,emprunts!$A:$A,0)),MIN(INDEX(emprunts!N:N,MATCH($A204,emprunts!$A:$A,0)),INDEX(emprunts!O:O,MATCH($A204,emprunts!$A:$A,0))))</f>
        <v>38777</v>
      </c>
      <c r="E204" s="52">
        <f>INDEX(emprunts!I:I,MATCH($A204,emprunts!$A:$A,0))</f>
        <v>18</v>
      </c>
      <c r="F204" s="18" t="str">
        <f>INDEX(emprunts!P:P,MATCH($A204,emprunts!$A:$A,0))</f>
        <v>Pente</v>
      </c>
      <c r="G204" s="126" t="str">
        <f>IF(LEFT(A204,3)="vx_","vx",INDEX(Categorie,MATCH($A204,emprunts!$A$2:$A$149,0)))</f>
        <v>Struct</v>
      </c>
      <c r="H204" s="6">
        <v>2004</v>
      </c>
      <c r="I204">
        <f t="shared" si="14"/>
        <v>1</v>
      </c>
      <c r="J204" s="4"/>
      <c r="L204" s="5"/>
      <c r="M204" s="5"/>
      <c r="N204" s="14">
        <v>10829876</v>
      </c>
      <c r="O204" s="14">
        <v>10829876</v>
      </c>
      <c r="P204" s="4">
        <v>2.6700000000000002E-2</v>
      </c>
      <c r="Q204" s="14">
        <v>0</v>
      </c>
      <c r="R204" s="14">
        <v>0</v>
      </c>
      <c r="S204" s="14"/>
      <c r="T204" s="14">
        <v>127489.19</v>
      </c>
      <c r="U204" s="14">
        <v>0</v>
      </c>
      <c r="V204" s="14">
        <f t="shared" si="19"/>
        <v>0</v>
      </c>
      <c r="W204" s="85"/>
      <c r="X204" s="85">
        <f t="shared" si="15"/>
        <v>0</v>
      </c>
      <c r="Y204" s="21">
        <f t="shared" si="16"/>
        <v>2.70237502106652E-2</v>
      </c>
      <c r="AA204" s="55">
        <f t="shared" si="17"/>
        <v>127489.19</v>
      </c>
      <c r="AB204" s="55" t="str">
        <f t="shared" si="18"/>
        <v/>
      </c>
      <c r="AC204" s="55">
        <f t="shared" si="20"/>
        <v>4717672.0109589044</v>
      </c>
    </row>
    <row r="205" spans="1:29">
      <c r="A205" s="1" t="s">
        <v>114</v>
      </c>
      <c r="B205" s="16" t="str">
        <f>INDEX(emprunts!C:C,MATCH($A205,emprunts!A:A,0))</f>
        <v>Dexia CL</v>
      </c>
      <c r="C205" s="18">
        <f>INDEX(emprunts!M:M,MATCH($A205,emprunts!$A:$A,0))</f>
        <v>38384</v>
      </c>
      <c r="D205" s="18">
        <f>IF(INDEX(emprunts!O:O,MATCH($A205,emprunts!$A:$A,0))="",INDEX(emprunts!N:N,MATCH($A205,emprunts!$A:$A,0)),MIN(INDEX(emprunts!N:N,MATCH($A205,emprunts!$A:$A,0)),INDEX(emprunts!O:O,MATCH($A205,emprunts!$A:$A,0))))</f>
        <v>39263</v>
      </c>
      <c r="E205" s="52">
        <f>INDEX(emprunts!I:I,MATCH($A205,emprunts!$A:$A,0))</f>
        <v>15</v>
      </c>
      <c r="F205" s="18" t="str">
        <f>INDEX(emprunts!P:P,MATCH($A205,emprunts!$A:$A,0))</f>
        <v>Change</v>
      </c>
      <c r="G205" s="126" t="str">
        <f>IF(LEFT(A205,3)="vx_","vx",INDEX(Categorie,MATCH($A205,emprunts!$A$2:$A$149,0)))</f>
        <v>Struct</v>
      </c>
      <c r="H205" s="6">
        <v>2004</v>
      </c>
      <c r="I205">
        <f t="shared" si="14"/>
        <v>0</v>
      </c>
      <c r="J205" s="4"/>
      <c r="L205" s="5"/>
      <c r="M205" s="5"/>
      <c r="N205" s="14"/>
      <c r="O205" s="14"/>
      <c r="P205" s="4"/>
      <c r="Q205" s="14"/>
      <c r="R205" s="14"/>
      <c r="S205" s="14"/>
      <c r="T205" s="14"/>
      <c r="U205" s="14"/>
      <c r="V205" s="14" t="str">
        <f t="shared" si="19"/>
        <v/>
      </c>
      <c r="W205" s="85"/>
      <c r="X205" s="85">
        <f t="shared" si="15"/>
        <v>0</v>
      </c>
      <c r="Y205" s="21" t="str">
        <f t="shared" si="16"/>
        <v/>
      </c>
      <c r="AA205" s="55">
        <f t="shared" si="17"/>
        <v>0</v>
      </c>
      <c r="AB205" s="55">
        <f t="shared" si="18"/>
        <v>0</v>
      </c>
      <c r="AC205" s="55">
        <f t="shared" si="20"/>
        <v>0</v>
      </c>
    </row>
    <row r="206" spans="1:29">
      <c r="A206" s="1" t="s">
        <v>117</v>
      </c>
      <c r="B206" s="16" t="str">
        <f>INDEX(emprunts!C:C,MATCH($A206,emprunts!A:A,0))</f>
        <v>Dexia CL</v>
      </c>
      <c r="C206" s="18">
        <f>INDEX(emprunts!M:M,MATCH($A206,emprunts!$A:$A,0))</f>
        <v>38406</v>
      </c>
      <c r="D206" s="18">
        <f>IF(INDEX(emprunts!O:O,MATCH($A206,emprunts!$A:$A,0))="",INDEX(emprunts!N:N,MATCH($A206,emprunts!$A:$A,0)),MIN(INDEX(emprunts!N:N,MATCH($A206,emprunts!$A:$A,0)),INDEX(emprunts!O:O,MATCH($A206,emprunts!$A:$A,0))))</f>
        <v>39114</v>
      </c>
      <c r="E206" s="52">
        <f>INDEX(emprunts!I:I,MATCH($A206,emprunts!$A:$A,0))</f>
        <v>17</v>
      </c>
      <c r="F206" s="18" t="str">
        <f>INDEX(emprunts!P:P,MATCH($A206,emprunts!$A:$A,0))</f>
        <v>Barrière avec multiplicateur</v>
      </c>
      <c r="G206" s="126" t="str">
        <f>IF(LEFT(A206,3)="vx_","vx",INDEX(Categorie,MATCH($A206,emprunts!$A$2:$A$149,0)))</f>
        <v>Struct</v>
      </c>
      <c r="H206" s="6">
        <v>2004</v>
      </c>
      <c r="I206">
        <f t="shared" si="14"/>
        <v>0</v>
      </c>
      <c r="J206" s="4"/>
      <c r="L206" s="5"/>
      <c r="M206" s="5"/>
      <c r="N206" s="14"/>
      <c r="O206" s="14"/>
      <c r="P206" s="4"/>
      <c r="Q206" s="14"/>
      <c r="R206" s="14"/>
      <c r="S206" s="14"/>
      <c r="T206" s="14"/>
      <c r="U206" s="14"/>
      <c r="V206" s="14" t="str">
        <f t="shared" si="19"/>
        <v/>
      </c>
      <c r="W206" s="85"/>
      <c r="X206" s="85">
        <f t="shared" si="15"/>
        <v>0</v>
      </c>
      <c r="Y206" s="21" t="str">
        <f t="shared" si="16"/>
        <v/>
      </c>
      <c r="AA206" s="55">
        <f t="shared" si="17"/>
        <v>0</v>
      </c>
      <c r="AB206" s="55">
        <f t="shared" si="18"/>
        <v>0</v>
      </c>
      <c r="AC206" s="55">
        <f t="shared" si="20"/>
        <v>0</v>
      </c>
    </row>
    <row r="207" spans="1:29">
      <c r="A207" s="1" t="s">
        <v>121</v>
      </c>
      <c r="B207" s="16" t="str">
        <f>INDEX(emprunts!C:C,MATCH($A207,emprunts!A:A,0))</f>
        <v>Dexia CL</v>
      </c>
      <c r="C207" s="18">
        <f>INDEX(emprunts!M:M,MATCH($A207,emprunts!$A:$A,0))</f>
        <v>38406</v>
      </c>
      <c r="D207" s="18">
        <f>IF(INDEX(emprunts!O:O,MATCH($A207,emprunts!$A:$A,0))="",INDEX(emprunts!N:N,MATCH($A207,emprunts!$A:$A,0)),MIN(INDEX(emprunts!N:N,MATCH($A207,emprunts!$A:$A,0)),INDEX(emprunts!O:O,MATCH($A207,emprunts!$A:$A,0))))</f>
        <v>39203</v>
      </c>
      <c r="E207" s="52">
        <f>INDEX(emprunts!I:I,MATCH($A207,emprunts!$A:$A,0))</f>
        <v>15</v>
      </c>
      <c r="F207" s="18" t="str">
        <f>INDEX(emprunts!P:P,MATCH($A207,emprunts!$A:$A,0))</f>
        <v>Variable hors zone EUR</v>
      </c>
      <c r="G207" s="126" t="str">
        <f>IF(LEFT(A207,3)="vx_","vx",INDEX(Categorie,MATCH($A207,emprunts!$A$2:$A$149,0)))</f>
        <v>Struct</v>
      </c>
      <c r="H207" s="6">
        <v>2004</v>
      </c>
      <c r="I207">
        <f t="shared" si="14"/>
        <v>0</v>
      </c>
      <c r="J207" s="4"/>
      <c r="L207" s="5"/>
      <c r="M207" s="5"/>
      <c r="N207" s="14"/>
      <c r="O207" s="14"/>
      <c r="P207" s="4"/>
      <c r="Q207" s="14"/>
      <c r="R207" s="14"/>
      <c r="S207" s="14"/>
      <c r="T207" s="14"/>
      <c r="U207" s="14"/>
      <c r="V207" s="14" t="str">
        <f t="shared" si="19"/>
        <v/>
      </c>
      <c r="W207" s="85"/>
      <c r="X207" s="85">
        <f t="shared" si="15"/>
        <v>0</v>
      </c>
      <c r="Y207" s="21" t="str">
        <f t="shared" si="16"/>
        <v/>
      </c>
      <c r="AA207" s="55">
        <f t="shared" si="17"/>
        <v>0</v>
      </c>
      <c r="AB207" s="55">
        <f t="shared" si="18"/>
        <v>0</v>
      </c>
      <c r="AC207" s="55">
        <f t="shared" si="20"/>
        <v>0</v>
      </c>
    </row>
    <row r="208" spans="1:29">
      <c r="A208" s="1" t="s">
        <v>123</v>
      </c>
      <c r="B208" s="16" t="str">
        <f>INDEX(emprunts!C:C,MATCH($A208,emprunts!A:A,0))</f>
        <v>Crédit Mutuel</v>
      </c>
      <c r="C208" s="18">
        <f>INDEX(emprunts!M:M,MATCH($A208,emprunts!$A:$A,0))</f>
        <v>38435</v>
      </c>
      <c r="D208" s="18">
        <f>IF(INDEX(emprunts!O:O,MATCH($A208,emprunts!$A:$A,0))="",INDEX(emprunts!N:N,MATCH($A208,emprunts!$A:$A,0)),MIN(INDEX(emprunts!N:N,MATCH($A208,emprunts!$A:$A,0)),INDEX(emprunts!O:O,MATCH($A208,emprunts!$A:$A,0))))</f>
        <v>40260</v>
      </c>
      <c r="E208" s="52">
        <f>INDEX(emprunts!I:I,MATCH($A208,emprunts!$A:$A,0))</f>
        <v>5</v>
      </c>
      <c r="F208" s="18" t="str">
        <f>INDEX(emprunts!P:P,MATCH($A208,emprunts!$A:$A,0))</f>
        <v>Fixe</v>
      </c>
      <c r="G208" s="126" t="str">
        <f>IF(LEFT(A208,3)="vx_","vx",INDEX(Categorie,MATCH($A208,emprunts!$A$2:$A$149,0)))</f>
        <v>Non_st</v>
      </c>
      <c r="H208" s="6">
        <v>2004</v>
      </c>
      <c r="I208">
        <f t="shared" si="14"/>
        <v>0</v>
      </c>
      <c r="J208" s="4"/>
      <c r="L208" s="5"/>
      <c r="M208" s="5"/>
      <c r="N208" s="14"/>
      <c r="O208" s="14"/>
      <c r="P208" s="4"/>
      <c r="Q208" s="14"/>
      <c r="R208" s="14"/>
      <c r="S208" s="14"/>
      <c r="T208" s="14"/>
      <c r="U208" s="14"/>
      <c r="V208" s="14" t="str">
        <f t="shared" si="19"/>
        <v/>
      </c>
      <c r="W208" s="85"/>
      <c r="X208" s="85">
        <f t="shared" si="15"/>
        <v>0</v>
      </c>
      <c r="Y208" s="21" t="str">
        <f t="shared" si="16"/>
        <v/>
      </c>
      <c r="AA208" s="55">
        <f t="shared" si="17"/>
        <v>0</v>
      </c>
      <c r="AB208" s="55">
        <f t="shared" si="18"/>
        <v>0</v>
      </c>
      <c r="AC208" s="55">
        <f t="shared" si="20"/>
        <v>0</v>
      </c>
    </row>
    <row r="209" spans="1:29">
      <c r="A209" s="1" t="s">
        <v>125</v>
      </c>
      <c r="B209" s="16" t="str">
        <f>INDEX(emprunts!C:C,MATCH($A209,emprunts!A:A,0))</f>
        <v>Dexia CL</v>
      </c>
      <c r="C209" s="18">
        <f>INDEX(emprunts!M:M,MATCH($A209,emprunts!$A:$A,0))</f>
        <v>38443</v>
      </c>
      <c r="D209" s="18">
        <f>IF(INDEX(emprunts!O:O,MATCH($A209,emprunts!$A:$A,0))="",INDEX(emprunts!N:N,MATCH($A209,emprunts!$A:$A,0)),MIN(INDEX(emprunts!N:N,MATCH($A209,emprunts!$A:$A,0)),INDEX(emprunts!O:O,MATCH($A209,emprunts!$A:$A,0))))</f>
        <v>38899</v>
      </c>
      <c r="E209" s="52">
        <f>INDEX(emprunts!I:I,MATCH($A209,emprunts!$A:$A,0))</f>
        <v>19</v>
      </c>
      <c r="F209" s="18" t="str">
        <f>INDEX(emprunts!P:P,MATCH($A209,emprunts!$A:$A,0))</f>
        <v>Change</v>
      </c>
      <c r="G209" s="126" t="str">
        <f>IF(LEFT(A209,3)="vx_","vx",INDEX(Categorie,MATCH($A209,emprunts!$A$2:$A$149,0)))</f>
        <v>Struct</v>
      </c>
      <c r="H209" s="6">
        <v>2004</v>
      </c>
      <c r="I209">
        <f t="shared" si="14"/>
        <v>0</v>
      </c>
      <c r="J209" s="4"/>
      <c r="L209" s="5"/>
      <c r="M209" s="5"/>
      <c r="N209" s="14"/>
      <c r="O209" s="14"/>
      <c r="P209" s="4"/>
      <c r="Q209" s="14"/>
      <c r="R209" s="14"/>
      <c r="S209" s="14"/>
      <c r="T209" s="14"/>
      <c r="U209" s="14"/>
      <c r="V209" s="14" t="str">
        <f t="shared" si="19"/>
        <v/>
      </c>
      <c r="W209" s="85"/>
      <c r="X209" s="85">
        <f t="shared" si="15"/>
        <v>0</v>
      </c>
      <c r="Y209" s="21" t="str">
        <f t="shared" si="16"/>
        <v/>
      </c>
      <c r="AA209" s="55">
        <f t="shared" si="17"/>
        <v>0</v>
      </c>
      <c r="AB209" s="55">
        <f t="shared" si="18"/>
        <v>0</v>
      </c>
      <c r="AC209" s="55">
        <f t="shared" si="20"/>
        <v>0</v>
      </c>
    </row>
    <row r="210" spans="1:29">
      <c r="A210" s="1" t="s">
        <v>540</v>
      </c>
      <c r="B210" s="16" t="str">
        <f>INDEX(emprunts!C:C,MATCH($A210,emprunts!A:A,0))</f>
        <v>Crédit Mutuel</v>
      </c>
      <c r="C210" s="18">
        <f>INDEX(emprunts!M:M,MATCH($A210,emprunts!$A:$A,0))</f>
        <v>36495</v>
      </c>
      <c r="D210" s="18">
        <f>IF(INDEX(emprunts!O:O,MATCH($A210,emprunts!$A:$A,0))="",INDEX(emprunts!N:N,MATCH($A210,emprunts!$A:$A,0)),MIN(INDEX(emprunts!N:N,MATCH($A210,emprunts!$A:$A,0)),INDEX(emprunts!O:O,MATCH($A210,emprunts!$A:$A,0))))</f>
        <v>41973</v>
      </c>
      <c r="E210" s="52">
        <f>INDEX(emprunts!I:I,MATCH($A210,emprunts!$A:$A,0))</f>
        <v>15</v>
      </c>
      <c r="F210" s="18" t="str">
        <f>INDEX(emprunts!P:P,MATCH($A210,emprunts!$A:$A,0))</f>
        <v>Fixe à phase</v>
      </c>
      <c r="G210" s="126" t="str">
        <f>IF(LEFT(A210,3)="vx_","vx",INDEX(Categorie,MATCH($A210,emprunts!$A$2:$A$149,0)))</f>
        <v>Non_st</v>
      </c>
      <c r="H210" s="6">
        <v>2005</v>
      </c>
      <c r="I210">
        <f t="shared" si="14"/>
        <v>1</v>
      </c>
      <c r="J210" s="4"/>
      <c r="K210" t="s">
        <v>155</v>
      </c>
      <c r="L210" s="5">
        <v>36860</v>
      </c>
      <c r="M210" s="5">
        <v>36860</v>
      </c>
      <c r="N210" s="14">
        <v>1524490.17</v>
      </c>
      <c r="O210" s="14">
        <v>1185269</v>
      </c>
      <c r="P210" s="4">
        <v>3.2199999999999999E-2</v>
      </c>
      <c r="Q210" s="14">
        <v>71182.11</v>
      </c>
      <c r="R210" s="14">
        <v>99606.69</v>
      </c>
      <c r="S210" s="14"/>
      <c r="T210" s="14">
        <v>3317.11</v>
      </c>
      <c r="U210" s="14">
        <f>SUM(Q210:S210)</f>
        <v>170788.8</v>
      </c>
      <c r="V210" s="14">
        <f t="shared" si="19"/>
        <v>0</v>
      </c>
      <c r="W210" s="85"/>
      <c r="X210" s="85">
        <f t="shared" si="15"/>
        <v>0</v>
      </c>
      <c r="Y210" s="21">
        <f t="shared" si="16"/>
        <v>5.5577051557740439E-2</v>
      </c>
      <c r="AA210" s="55">
        <f t="shared" si="17"/>
        <v>68453.62</v>
      </c>
      <c r="AB210" s="55">
        <f t="shared" si="18"/>
        <v>-0.31000000005587935</v>
      </c>
      <c r="AC210" s="55">
        <f t="shared" si="20"/>
        <v>1231688.5851506849</v>
      </c>
    </row>
    <row r="211" spans="1:29">
      <c r="A211" t="s">
        <v>10</v>
      </c>
      <c r="B211" s="16" t="str">
        <f>INDEX(emprunts!C:C,MATCH($A211,emprunts!A:A,0))</f>
        <v>Crédit Mutuel</v>
      </c>
      <c r="C211" s="18">
        <f>INDEX(emprunts!M:M,MATCH($A211,emprunts!$A:$A,0))</f>
        <v>36950</v>
      </c>
      <c r="D211" s="18">
        <f>IF(INDEX(emprunts!O:O,MATCH($A211,emprunts!$A:$A,0))="",INDEX(emprunts!N:N,MATCH($A211,emprunts!$A:$A,0)),MIN(INDEX(emprunts!N:N,MATCH($A211,emprunts!$A:$A,0)),INDEX(emprunts!O:O,MATCH($A211,emprunts!$A:$A,0))))</f>
        <v>42429</v>
      </c>
      <c r="E211" s="52">
        <f>INDEX(emprunts!I:I,MATCH($A211,emprunts!$A:$A,0))</f>
        <v>15</v>
      </c>
      <c r="F211" s="18" t="str">
        <f>INDEX(emprunts!P:P,MATCH($A211,emprunts!$A:$A,0))</f>
        <v>Fixe</v>
      </c>
      <c r="G211" s="126" t="str">
        <f>IF(LEFT(A211,3)="vx_","vx",INDEX(Categorie,MATCH($A211,emprunts!$A$2:$A$149,0)))</f>
        <v>Non_st</v>
      </c>
      <c r="H211">
        <v>2005</v>
      </c>
      <c r="I211">
        <f t="shared" si="14"/>
        <v>1</v>
      </c>
      <c r="L211" s="5">
        <v>37315</v>
      </c>
      <c r="M211" s="5">
        <v>38045</v>
      </c>
      <c r="N211"/>
      <c r="O211" s="14">
        <v>515981</v>
      </c>
      <c r="P211" s="4">
        <v>4.99E-2</v>
      </c>
      <c r="Q211" s="14">
        <v>28088.15</v>
      </c>
      <c r="R211" s="14">
        <v>46907.39</v>
      </c>
      <c r="S211" s="14"/>
      <c r="T211" s="14">
        <v>21585.55</v>
      </c>
      <c r="U211" s="14">
        <f>SUM(Q211:S211)</f>
        <v>74995.540000000008</v>
      </c>
      <c r="V211" s="14">
        <f t="shared" si="19"/>
        <v>0</v>
      </c>
      <c r="X211" s="85">
        <f t="shared" si="15"/>
        <v>0</v>
      </c>
      <c r="Y211" s="21">
        <f t="shared" si="16"/>
        <v>4.8541853921418909E-2</v>
      </c>
      <c r="AA211" s="55">
        <f t="shared" si="17"/>
        <v>26113.42</v>
      </c>
      <c r="AB211" s="55">
        <f t="shared" si="18"/>
        <v>-0.60999999998603016</v>
      </c>
      <c r="AC211" s="55">
        <f t="shared" si="20"/>
        <v>537956.79172602738</v>
      </c>
    </row>
    <row r="212" spans="1:29">
      <c r="A212" t="s">
        <v>14</v>
      </c>
      <c r="B212" s="16" t="str">
        <f>INDEX(emprunts!C:C,MATCH($A212,emprunts!A:A,0))</f>
        <v>CDC</v>
      </c>
      <c r="C212" s="18">
        <f>INDEX(emprunts!M:M,MATCH($A212,emprunts!$A:$A,0))</f>
        <v>37006</v>
      </c>
      <c r="D212" s="18">
        <f>IF(INDEX(emprunts!O:O,MATCH($A212,emprunts!$A:$A,0))="",INDEX(emprunts!N:N,MATCH($A212,emprunts!$A:$A,0)),MIN(INDEX(emprunts!N:N,MATCH($A212,emprunts!$A:$A,0)),INDEX(emprunts!O:O,MATCH($A212,emprunts!$A:$A,0))))</f>
        <v>38102</v>
      </c>
      <c r="E212" s="52">
        <f>INDEX(emprunts!I:I,MATCH($A212,emprunts!$A:$A,0))</f>
        <v>3</v>
      </c>
      <c r="F212" s="18" t="str">
        <f>INDEX(emprunts!P:P,MATCH($A212,emprunts!$A:$A,0))</f>
        <v>Fixe</v>
      </c>
      <c r="G212" s="126" t="str">
        <f>IF(LEFT(A212,3)="vx_","vx",INDEX(Categorie,MATCH($A212,emprunts!$A$2:$A$149,0)))</f>
        <v>Non_st</v>
      </c>
      <c r="H212">
        <v>2005</v>
      </c>
      <c r="I212">
        <f t="shared" si="14"/>
        <v>1</v>
      </c>
      <c r="N212"/>
      <c r="O212" s="14"/>
      <c r="Q212" s="14"/>
      <c r="R212" s="14"/>
      <c r="S212" s="14"/>
      <c r="T212" s="14"/>
      <c r="U212" s="14"/>
      <c r="V212" s="14" t="str">
        <f t="shared" si="19"/>
        <v/>
      </c>
      <c r="X212" s="85">
        <f t="shared" si="15"/>
        <v>0</v>
      </c>
      <c r="Y212" s="21" t="str">
        <f t="shared" si="16"/>
        <v/>
      </c>
      <c r="AA212" s="55">
        <f t="shared" si="17"/>
        <v>0</v>
      </c>
      <c r="AB212" s="55">
        <f t="shared" si="18"/>
        <v>0</v>
      </c>
      <c r="AC212" s="55">
        <f t="shared" si="20"/>
        <v>0</v>
      </c>
    </row>
    <row r="213" spans="1:29">
      <c r="A213" t="s">
        <v>16</v>
      </c>
      <c r="B213" s="16" t="str">
        <f>INDEX(emprunts!C:C,MATCH($A213,emprunts!A:A,0))</f>
        <v>Caisse d'Épargne</v>
      </c>
      <c r="C213" s="18">
        <f>INDEX(emprunts!M:M,MATCH($A213,emprunts!$A:$A,0))</f>
        <v>37189</v>
      </c>
      <c r="D213" s="18">
        <f>IF(INDEX(emprunts!O:O,MATCH($A213,emprunts!$A:$A,0))="",INDEX(emprunts!N:N,MATCH($A213,emprunts!$A:$A,0)),MIN(INDEX(emprunts!N:N,MATCH($A213,emprunts!$A:$A,0)),INDEX(emprunts!O:O,MATCH($A213,emprunts!$A:$A,0))))</f>
        <v>38773</v>
      </c>
      <c r="E213" s="52">
        <f>INDEX(emprunts!I:I,MATCH($A213,emprunts!$A:$A,0))</f>
        <v>19</v>
      </c>
      <c r="F213" s="18" t="str">
        <f>INDEX(emprunts!P:P,MATCH($A213,emprunts!$A:$A,0))</f>
        <v>Pente</v>
      </c>
      <c r="G213" s="126" t="str">
        <f>IF(LEFT(A213,3)="vx_","vx",INDEX(Categorie,MATCH($A213,emprunts!$A$2:$A$149,0)))</f>
        <v>Struct</v>
      </c>
      <c r="H213">
        <v>2005</v>
      </c>
      <c r="I213">
        <f t="shared" si="14"/>
        <v>1</v>
      </c>
      <c r="L213" s="5">
        <v>37220</v>
      </c>
      <c r="M213" s="5">
        <v>38408</v>
      </c>
      <c r="N213" s="14">
        <v>11859925.98</v>
      </c>
      <c r="O213" s="14">
        <v>11392833</v>
      </c>
      <c r="P213" s="4">
        <v>1.2999999999999999E-2</v>
      </c>
      <c r="Q213" s="14">
        <v>300234.03000000003</v>
      </c>
      <c r="R213" s="14">
        <v>467092.82</v>
      </c>
      <c r="S213" s="14"/>
      <c r="T213" s="14">
        <v>127125.03</v>
      </c>
      <c r="U213" s="14">
        <v>767326.85</v>
      </c>
      <c r="V213" s="14">
        <f t="shared" si="19"/>
        <v>-1.1641532182693481E-10</v>
      </c>
      <c r="X213" s="85">
        <f t="shared" si="15"/>
        <v>0</v>
      </c>
      <c r="Y213" s="21">
        <f t="shared" si="16"/>
        <v>1.4926222537031969E-2</v>
      </c>
      <c r="AA213" s="55">
        <f t="shared" si="17"/>
        <v>173062.48000000007</v>
      </c>
      <c r="AB213" s="55">
        <f t="shared" si="18"/>
        <v>-0.16000000014901161</v>
      </c>
      <c r="AC213" s="55">
        <f t="shared" si="20"/>
        <v>11594526.315726027</v>
      </c>
    </row>
    <row r="214" spans="1:29">
      <c r="A214" t="s">
        <v>22</v>
      </c>
      <c r="B214" s="16" t="str">
        <f>INDEX(emprunts!C:C,MATCH($A214,emprunts!A:A,0))</f>
        <v>Dexia CL</v>
      </c>
      <c r="C214" s="18">
        <f>INDEX(emprunts!M:M,MATCH($A214,emprunts!$A:$A,0))</f>
        <v>37221</v>
      </c>
      <c r="D214" s="18">
        <f>IF(INDEX(emprunts!O:O,MATCH($A214,emprunts!$A:$A,0))="",INDEX(emprunts!N:N,MATCH($A214,emprunts!$A:$A,0)),MIN(INDEX(emprunts!N:N,MATCH($A214,emprunts!$A:$A,0)),INDEX(emprunts!O:O,MATCH($A214,emprunts!$A:$A,0))))</f>
        <v>38777</v>
      </c>
      <c r="E214" s="52">
        <f>INDEX(emprunts!I:I,MATCH($A214,emprunts!$A:$A,0))</f>
        <v>20</v>
      </c>
      <c r="F214" s="18" t="str">
        <f>INDEX(emprunts!P:P,MATCH($A214,emprunts!$A:$A,0))</f>
        <v>Annulable</v>
      </c>
      <c r="G214" s="126" t="str">
        <f>IF(LEFT(A214,3)="vx_","vx",INDEX(Categorie,MATCH($A214,emprunts!$A$2:$A$149,0)))</f>
        <v>Struct</v>
      </c>
      <c r="H214">
        <v>2005</v>
      </c>
      <c r="I214">
        <f t="shared" si="14"/>
        <v>1</v>
      </c>
      <c r="L214" s="5">
        <v>37316</v>
      </c>
      <c r="M214" s="5">
        <v>37316</v>
      </c>
      <c r="N214" s="14"/>
      <c r="O214" s="14">
        <v>2439184</v>
      </c>
      <c r="P214" s="4">
        <v>4.2900000000000001E-2</v>
      </c>
      <c r="Q214" s="14">
        <v>110231.86</v>
      </c>
      <c r="R214" s="14">
        <v>152449</v>
      </c>
      <c r="S214" s="14"/>
      <c r="T214" s="14">
        <v>8720.08</v>
      </c>
      <c r="U214" s="14">
        <f>SUM(Q214:S214)</f>
        <v>262680.86</v>
      </c>
      <c r="V214" s="14">
        <f t="shared" si="19"/>
        <v>0</v>
      </c>
      <c r="X214" s="85">
        <f t="shared" si="15"/>
        <v>0</v>
      </c>
      <c r="Y214" s="21">
        <f t="shared" si="16"/>
        <v>4.3725775554944654E-2</v>
      </c>
      <c r="AA214" s="55">
        <f t="shared" si="17"/>
        <v>109686.85</v>
      </c>
      <c r="AB214" s="55">
        <f t="shared" si="18"/>
        <v>0</v>
      </c>
      <c r="AC214" s="55">
        <f t="shared" si="20"/>
        <v>2508516.9698630138</v>
      </c>
    </row>
    <row r="215" spans="1:29">
      <c r="A215" t="s">
        <v>26</v>
      </c>
      <c r="B215" s="16" t="str">
        <f>INDEX(emprunts!C:C,MATCH($A215,emprunts!A:A,0))</f>
        <v>CDC</v>
      </c>
      <c r="C215" s="18">
        <f>INDEX(emprunts!M:M,MATCH($A215,emprunts!$A:$A,0))</f>
        <v>37281</v>
      </c>
      <c r="D215" s="18">
        <f>IF(INDEX(emprunts!O:O,MATCH($A215,emprunts!$A:$A,0))="",INDEX(emprunts!N:N,MATCH($A215,emprunts!$A:$A,0)),MIN(INDEX(emprunts!N:N,MATCH($A215,emprunts!$A:$A,0)),INDEX(emprunts!O:O,MATCH($A215,emprunts!$A:$A,0))))</f>
        <v>39838</v>
      </c>
      <c r="E215" s="52">
        <f>INDEX(emprunts!I:I,MATCH($A215,emprunts!$A:$A,0))</f>
        <v>7</v>
      </c>
      <c r="F215" s="18" t="str">
        <f>INDEX(emprunts!P:P,MATCH($A215,emprunts!$A:$A,0))</f>
        <v>Fixe</v>
      </c>
      <c r="G215" s="126" t="str">
        <f>IF(LEFT(A215,3)="vx_","vx",INDEX(Categorie,MATCH($A215,emprunts!$A$2:$A$149,0)))</f>
        <v>Non_st</v>
      </c>
      <c r="H215">
        <v>2005</v>
      </c>
      <c r="I215">
        <f t="shared" si="14"/>
        <v>1</v>
      </c>
      <c r="L215" s="5">
        <v>37646</v>
      </c>
      <c r="M215" s="5">
        <v>37646</v>
      </c>
      <c r="N215" s="14">
        <v>2448751.2200000002</v>
      </c>
      <c r="O215" s="14">
        <v>0</v>
      </c>
      <c r="P215" s="4">
        <v>5.0999999999999997E-2</v>
      </c>
      <c r="Q215" s="14">
        <v>93522.6</v>
      </c>
      <c r="R215" s="14">
        <v>2341334.15</v>
      </c>
      <c r="S215" s="14"/>
      <c r="T215" s="14">
        <v>0</v>
      </c>
      <c r="U215" s="14">
        <v>2434856.75</v>
      </c>
      <c r="V215" s="14">
        <f t="shared" si="19"/>
        <v>0</v>
      </c>
      <c r="W215" s="85">
        <v>507557.14999999991</v>
      </c>
      <c r="X215" s="85">
        <f t="shared" si="15"/>
        <v>0</v>
      </c>
      <c r="Y215" s="21">
        <f t="shared" si="16"/>
        <v>5.4718373818084627E-3</v>
      </c>
      <c r="AA215" s="55">
        <f t="shared" si="17"/>
        <v>6388.1500000000087</v>
      </c>
      <c r="AB215" s="55">
        <f t="shared" si="18"/>
        <v>0</v>
      </c>
      <c r="AC215" s="55">
        <f t="shared" si="20"/>
        <v>1167459.7679452056</v>
      </c>
    </row>
    <row r="216" spans="1:29">
      <c r="A216" t="s">
        <v>28</v>
      </c>
      <c r="B216" s="16" t="str">
        <f>INDEX(emprunts!C:C,MATCH($A216,emprunts!A:A,0))</f>
        <v>CDC</v>
      </c>
      <c r="C216" s="18">
        <f>INDEX(emprunts!M:M,MATCH($A216,emprunts!$A:$A,0))</f>
        <v>37288</v>
      </c>
      <c r="D216" s="18">
        <f>IF(INDEX(emprunts!O:O,MATCH($A216,emprunts!$A:$A,0))="",INDEX(emprunts!N:N,MATCH($A216,emprunts!$A:$A,0)),MIN(INDEX(emprunts!N:N,MATCH($A216,emprunts!$A:$A,0)),INDEX(emprunts!O:O,MATCH($A216,emprunts!$A:$A,0))))</f>
        <v>44593</v>
      </c>
      <c r="E216" s="52">
        <f>INDEX(emprunts!I:I,MATCH($A216,emprunts!$A:$A,0))</f>
        <v>20</v>
      </c>
      <c r="F216" s="18" t="str">
        <f>INDEX(emprunts!P:P,MATCH($A216,emprunts!$A:$A,0))</f>
        <v>Livret A</v>
      </c>
      <c r="G216" s="126" t="str">
        <f>IF(LEFT(A216,3)="vx_","vx",INDEX(Categorie,MATCH($A216,emprunts!$A$2:$A$149,0)))</f>
        <v>Livr_A</v>
      </c>
      <c r="H216">
        <v>2005</v>
      </c>
      <c r="I216">
        <f t="shared" si="14"/>
        <v>1</v>
      </c>
      <c r="L216" s="5">
        <v>37653</v>
      </c>
      <c r="M216" s="5">
        <v>37653</v>
      </c>
      <c r="N216" s="14">
        <v>2137796</v>
      </c>
      <c r="O216" s="14">
        <v>1886019</v>
      </c>
      <c r="P216" s="4">
        <v>2.2499999999999999E-2</v>
      </c>
      <c r="Q216" s="14">
        <v>44466.53</v>
      </c>
      <c r="R216" s="14">
        <v>90271.38</v>
      </c>
      <c r="S216" s="14"/>
      <c r="T216" s="14">
        <v>38715.050000000003</v>
      </c>
      <c r="U216" s="14">
        <f>SUM(Q216:S216)</f>
        <v>134737.91</v>
      </c>
      <c r="V216" s="14">
        <f t="shared" si="19"/>
        <v>0</v>
      </c>
      <c r="X216" s="85">
        <f t="shared" si="15"/>
        <v>0</v>
      </c>
      <c r="Y216" s="21">
        <f t="shared" si="16"/>
        <v>2.2121413143634933E-2</v>
      </c>
      <c r="AA216" s="55">
        <f t="shared" si="17"/>
        <v>42602.83</v>
      </c>
      <c r="AB216" s="55">
        <f t="shared" si="18"/>
        <v>0.37999999988824129</v>
      </c>
      <c r="AC216" s="55">
        <f t="shared" si="20"/>
        <v>1925863.8552328767</v>
      </c>
    </row>
    <row r="217" spans="1:29">
      <c r="A217" t="s">
        <v>31</v>
      </c>
      <c r="B217" s="16" t="str">
        <f>INDEX(emprunts!C:C,MATCH($A217,emprunts!A:A,0))</f>
        <v>CDC</v>
      </c>
      <c r="C217" s="18">
        <f>INDEX(emprunts!M:M,MATCH($A217,emprunts!$A:$A,0))</f>
        <v>37347</v>
      </c>
      <c r="D217" s="18">
        <f>IF(INDEX(emprunts!O:O,MATCH($A217,emprunts!$A:$A,0))="",INDEX(emprunts!N:N,MATCH($A217,emprunts!$A:$A,0)),MIN(INDEX(emprunts!N:N,MATCH($A217,emprunts!$A:$A,0)),INDEX(emprunts!O:O,MATCH($A217,emprunts!$A:$A,0))))</f>
        <v>44652</v>
      </c>
      <c r="E217" s="52">
        <f>INDEX(emprunts!I:I,MATCH($A217,emprunts!$A:$A,0))</f>
        <v>20</v>
      </c>
      <c r="F217" s="18" t="str">
        <f>INDEX(emprunts!P:P,MATCH($A217,emprunts!$A:$A,0))</f>
        <v>Livret A</v>
      </c>
      <c r="G217" s="126" t="str">
        <f>IF(LEFT(A217,3)="vx_","vx",INDEX(Categorie,MATCH($A217,emprunts!$A$2:$A$149,0)))</f>
        <v>Livr_A</v>
      </c>
      <c r="H217">
        <v>2005</v>
      </c>
      <c r="I217">
        <f t="shared" si="14"/>
        <v>1</v>
      </c>
      <c r="L217" s="5">
        <v>37625</v>
      </c>
      <c r="M217" s="5">
        <v>37625</v>
      </c>
      <c r="N217" s="14">
        <v>4722409</v>
      </c>
      <c r="O217" s="14">
        <v>0</v>
      </c>
      <c r="P217" s="4">
        <v>3.4500000000000003E-2</v>
      </c>
      <c r="Q217" s="14">
        <v>151980.72</v>
      </c>
      <c r="R217" s="14">
        <v>4405238.2300000004</v>
      </c>
      <c r="S217" s="14"/>
      <c r="T217" s="14">
        <v>0</v>
      </c>
      <c r="U217" s="14">
        <v>4557218.95</v>
      </c>
      <c r="V217" s="14">
        <f t="shared" si="19"/>
        <v>0</v>
      </c>
      <c r="X217" s="85">
        <f t="shared" si="15"/>
        <v>0</v>
      </c>
      <c r="Y217" s="21">
        <f t="shared" si="16"/>
        <v>1.7249998474487212E-2</v>
      </c>
      <c r="AA217" s="55">
        <f t="shared" si="17"/>
        <v>37891.08</v>
      </c>
      <c r="AB217" s="55">
        <f t="shared" si="18"/>
        <v>0.23000000044703484</v>
      </c>
      <c r="AC217" s="55">
        <f t="shared" si="20"/>
        <v>2196584.5420821919</v>
      </c>
    </row>
    <row r="218" spans="1:29">
      <c r="A218" t="s">
        <v>33</v>
      </c>
      <c r="B218" s="16" t="str">
        <f>INDEX(emprunts!C:C,MATCH($A218,emprunts!A:A,0))</f>
        <v>Crédit Agricole</v>
      </c>
      <c r="C218" s="18">
        <f>INDEX(emprunts!M:M,MATCH($A218,emprunts!$A:$A,0))</f>
        <v>37361</v>
      </c>
      <c r="D218" s="18">
        <f>IF(INDEX(emprunts!O:O,MATCH($A218,emprunts!$A:$A,0))="",INDEX(emprunts!N:N,MATCH($A218,emprunts!$A:$A,0)),MIN(INDEX(emprunts!N:N,MATCH($A218,emprunts!$A:$A,0)),INDEX(emprunts!O:O,MATCH($A218,emprunts!$A:$A,0))))</f>
        <v>42843</v>
      </c>
      <c r="E218" s="52">
        <f>INDEX(emprunts!I:I,MATCH($A218,emprunts!$A:$A,0))</f>
        <v>15</v>
      </c>
      <c r="F218" s="18" t="str">
        <f>INDEX(emprunts!P:P,MATCH($A218,emprunts!$A:$A,0))</f>
        <v>Barrière hors zone EUR</v>
      </c>
      <c r="G218" s="126" t="str">
        <f>IF(LEFT(A218,3)="vx_","vx",INDEX(Categorie,MATCH($A218,emprunts!$A$2:$A$149,0)))</f>
        <v>Struct</v>
      </c>
      <c r="H218">
        <v>2005</v>
      </c>
      <c r="I218">
        <f t="shared" si="14"/>
        <v>1</v>
      </c>
      <c r="L218" s="5">
        <v>37726</v>
      </c>
      <c r="M218" s="5">
        <v>37726</v>
      </c>
      <c r="N218" s="14">
        <v>13097112.84</v>
      </c>
      <c r="O218" s="14">
        <v>10988735</v>
      </c>
      <c r="P218" s="4">
        <v>2.7099999999999999E-2</v>
      </c>
      <c r="Q218" s="14">
        <v>410054.36</v>
      </c>
      <c r="R218" s="14">
        <v>727103.38</v>
      </c>
      <c r="S218" s="14"/>
      <c r="T218" s="14">
        <v>226106.28</v>
      </c>
      <c r="U218" s="14">
        <f>SUM(Q218:S218)</f>
        <v>1137157.74</v>
      </c>
      <c r="V218" s="14">
        <f t="shared" si="19"/>
        <v>0</v>
      </c>
      <c r="X218" s="85">
        <f t="shared" si="15"/>
        <v>0</v>
      </c>
      <c r="Y218" s="21">
        <f t="shared" si="16"/>
        <v>3.0391441721126875E-2</v>
      </c>
      <c r="AA218" s="55">
        <f t="shared" si="17"/>
        <v>344067.12</v>
      </c>
      <c r="AB218" s="55">
        <f t="shared" si="18"/>
        <v>-0.61999999918043613</v>
      </c>
      <c r="AC218" s="55">
        <f t="shared" si="20"/>
        <v>11321184.534684932</v>
      </c>
    </row>
    <row r="219" spans="1:29">
      <c r="A219" t="s">
        <v>38</v>
      </c>
      <c r="B219" s="16" t="str">
        <f>INDEX(emprunts!C:C,MATCH($A219,emprunts!A:A,0))</f>
        <v>Dexia CL</v>
      </c>
      <c r="C219" s="18">
        <f>INDEX(emprunts!M:M,MATCH($A219,emprunts!$A:$A,0))</f>
        <v>37377</v>
      </c>
      <c r="D219" s="18">
        <f>IF(INDEX(emprunts!O:O,MATCH($A219,emprunts!$A:$A,0))="",INDEX(emprunts!N:N,MATCH($A219,emprunts!$A:$A,0)),MIN(INDEX(emprunts!N:N,MATCH($A219,emprunts!$A:$A,0)),INDEX(emprunts!O:O,MATCH($A219,emprunts!$A:$A,0))))</f>
        <v>38087</v>
      </c>
      <c r="E219" s="52">
        <f>INDEX(emprunts!I:I,MATCH($A219,emprunts!$A:$A,0))</f>
        <v>17</v>
      </c>
      <c r="F219" s="18" t="str">
        <f>INDEX(emprunts!P:P,MATCH($A219,emprunts!$A:$A,0))</f>
        <v>Barrière</v>
      </c>
      <c r="G219" s="126" t="str">
        <f>IF(LEFT(A219,3)="vx_","vx",INDEX(Categorie,MATCH($A219,emprunts!$A$2:$A$149,0)))</f>
        <v>Struct</v>
      </c>
      <c r="H219">
        <v>2005</v>
      </c>
      <c r="I219">
        <f t="shared" si="14"/>
        <v>1</v>
      </c>
      <c r="N219" s="14"/>
      <c r="O219" s="14"/>
      <c r="Q219" s="14"/>
      <c r="R219" s="14"/>
      <c r="S219" s="14"/>
      <c r="T219" s="14"/>
      <c r="U219" s="14"/>
      <c r="V219" s="14" t="str">
        <f t="shared" si="19"/>
        <v/>
      </c>
      <c r="X219" s="85">
        <f t="shared" si="15"/>
        <v>0</v>
      </c>
      <c r="Y219" s="21" t="str">
        <f t="shared" si="16"/>
        <v/>
      </c>
      <c r="AA219" s="55">
        <f t="shared" si="17"/>
        <v>0</v>
      </c>
      <c r="AB219" s="55">
        <f t="shared" si="18"/>
        <v>0</v>
      </c>
      <c r="AC219" s="55">
        <f t="shared" si="20"/>
        <v>0</v>
      </c>
    </row>
    <row r="220" spans="1:29">
      <c r="A220" t="s">
        <v>43</v>
      </c>
      <c r="B220" s="16" t="str">
        <f>INDEX(emprunts!C:C,MATCH($A220,emprunts!A:A,0))</f>
        <v>Dexia CL</v>
      </c>
      <c r="C220" s="18">
        <f>INDEX(emprunts!M:M,MATCH($A220,emprunts!$A:$A,0))</f>
        <v>37377</v>
      </c>
      <c r="D220" s="18">
        <f>IF(INDEX(emprunts!O:O,MATCH($A220,emprunts!$A:$A,0))="",INDEX(emprunts!N:N,MATCH($A220,emprunts!$A:$A,0)),MIN(INDEX(emprunts!N:N,MATCH($A220,emprunts!$A:$A,0)),INDEX(emprunts!O:O,MATCH($A220,emprunts!$A:$A,0))))</f>
        <v>38534</v>
      </c>
      <c r="E220" s="52">
        <f>INDEX(emprunts!I:I,MATCH($A220,emprunts!$A:$A,0))</f>
        <v>19.25</v>
      </c>
      <c r="F220" s="18" t="str">
        <f>INDEX(emprunts!P:P,MATCH($A220,emprunts!$A:$A,0))</f>
        <v>Barrière hors zone EUR</v>
      </c>
      <c r="G220" s="126" t="str">
        <f>IF(LEFT(A220,3)="vx_","vx",INDEX(Categorie,MATCH($A220,emprunts!$A$2:$A$149,0)))</f>
        <v>Struct</v>
      </c>
      <c r="H220">
        <v>2005</v>
      </c>
      <c r="I220">
        <f t="shared" si="14"/>
        <v>1</v>
      </c>
      <c r="N220" s="14">
        <v>4603414.62</v>
      </c>
      <c r="O220" s="14">
        <v>0</v>
      </c>
      <c r="P220" s="4">
        <v>4.8300000000000003E-2</v>
      </c>
      <c r="Q220" s="14">
        <v>139172.72</v>
      </c>
      <c r="R220" s="14">
        <v>0</v>
      </c>
      <c r="S220" s="14"/>
      <c r="T220" s="14">
        <v>0</v>
      </c>
      <c r="U220" s="14">
        <v>139172.72</v>
      </c>
      <c r="V220" s="14">
        <f t="shared" si="19"/>
        <v>0</v>
      </c>
      <c r="X220" s="85">
        <f t="shared" si="15"/>
        <v>4286000</v>
      </c>
      <c r="Y220" s="21">
        <f t="shared" si="16"/>
        <v>4.9246148774243777E-2</v>
      </c>
      <c r="AA220" s="55">
        <f t="shared" si="17"/>
        <v>104667.09</v>
      </c>
      <c r="AB220" s="55">
        <f t="shared" si="18"/>
        <v>-415</v>
      </c>
      <c r="AC220" s="55">
        <f t="shared" si="20"/>
        <v>2125386.3013698631</v>
      </c>
    </row>
    <row r="221" spans="1:29">
      <c r="A221" t="s">
        <v>46</v>
      </c>
      <c r="B221" s="16" t="str">
        <f>INDEX(emprunts!C:C,MATCH($A221,emprunts!A:A,0))</f>
        <v>Dexia CL</v>
      </c>
      <c r="C221" s="18">
        <f>INDEX(emprunts!M:M,MATCH($A221,emprunts!$A:$A,0))</f>
        <v>37377</v>
      </c>
      <c r="D221" s="18">
        <f>IF(INDEX(emprunts!O:O,MATCH($A221,emprunts!$A:$A,0))="",INDEX(emprunts!N:N,MATCH($A221,emprunts!$A:$A,0)),MIN(INDEX(emprunts!N:N,MATCH($A221,emprunts!$A:$A,0)),INDEX(emprunts!O:O,MATCH($A221,emprunts!$A:$A,0))))</f>
        <v>38087</v>
      </c>
      <c r="E221" s="52">
        <f>INDEX(emprunts!I:I,MATCH($A221,emprunts!$A:$A,0))</f>
        <v>19.25</v>
      </c>
      <c r="F221" s="18" t="str">
        <f>INDEX(emprunts!P:P,MATCH($A221,emprunts!$A:$A,0))</f>
        <v>Barrière hors zone EUR</v>
      </c>
      <c r="G221" s="126" t="str">
        <f>IF(LEFT(A221,3)="vx_","vx",INDEX(Categorie,MATCH($A221,emprunts!$A$2:$A$149,0)))</f>
        <v>Struct</v>
      </c>
      <c r="H221">
        <v>2005</v>
      </c>
      <c r="I221">
        <f t="shared" si="14"/>
        <v>1</v>
      </c>
      <c r="N221" s="14"/>
      <c r="O221" s="14"/>
      <c r="Q221" s="14"/>
      <c r="R221" s="14"/>
      <c r="S221" s="14"/>
      <c r="T221" s="14"/>
      <c r="U221" s="14"/>
      <c r="V221" s="14" t="str">
        <f t="shared" si="19"/>
        <v/>
      </c>
      <c r="X221" s="85">
        <f t="shared" si="15"/>
        <v>0</v>
      </c>
      <c r="Y221" s="21" t="str">
        <f t="shared" si="16"/>
        <v/>
      </c>
      <c r="AA221" s="55">
        <f t="shared" si="17"/>
        <v>0</v>
      </c>
      <c r="AB221" s="55">
        <f t="shared" si="18"/>
        <v>0</v>
      </c>
      <c r="AC221" s="55">
        <f t="shared" si="20"/>
        <v>0</v>
      </c>
    </row>
    <row r="222" spans="1:29">
      <c r="A222" t="s">
        <v>51</v>
      </c>
      <c r="B222" s="16" t="str">
        <f>INDEX(emprunts!C:C,MATCH($A222,emprunts!A:A,0))</f>
        <v>Dexia CL</v>
      </c>
      <c r="C222" s="18">
        <f>INDEX(emprunts!M:M,MATCH($A222,emprunts!$A:$A,0))</f>
        <v>37377</v>
      </c>
      <c r="D222" s="18">
        <f>IF(INDEX(emprunts!O:O,MATCH($A222,emprunts!$A:$A,0))="",INDEX(emprunts!N:N,MATCH($A222,emprunts!$A:$A,0)),MIN(INDEX(emprunts!N:N,MATCH($A222,emprunts!$A:$A,0)),INDEX(emprunts!O:O,MATCH($A222,emprunts!$A:$A,0))))</f>
        <v>38193</v>
      </c>
      <c r="E222" s="52">
        <f>INDEX(emprunts!I:I,MATCH($A222,emprunts!$A:$A,0))</f>
        <v>8</v>
      </c>
      <c r="F222" s="18" t="str">
        <f>INDEX(emprunts!P:P,MATCH($A222,emprunts!$A:$A,0))</f>
        <v>Variable hors zone EUR</v>
      </c>
      <c r="G222" s="126" t="str">
        <f>IF(LEFT(A222,3)="vx_","vx",INDEX(Categorie,MATCH($A222,emprunts!$A$2:$A$149,0)))</f>
        <v>Struct</v>
      </c>
      <c r="H222">
        <v>2005</v>
      </c>
      <c r="I222">
        <f t="shared" si="14"/>
        <v>1</v>
      </c>
      <c r="N222" s="14"/>
      <c r="O222" s="14"/>
      <c r="Q222" s="14"/>
      <c r="R222" s="14"/>
      <c r="S222" s="14"/>
      <c r="T222" s="14"/>
      <c r="U222" s="14"/>
      <c r="V222" s="14" t="str">
        <f t="shared" si="19"/>
        <v/>
      </c>
      <c r="X222" s="85">
        <f t="shared" si="15"/>
        <v>0</v>
      </c>
      <c r="Y222" s="21" t="str">
        <f t="shared" si="16"/>
        <v/>
      </c>
      <c r="AA222" s="55">
        <f t="shared" si="17"/>
        <v>0</v>
      </c>
      <c r="AB222" s="55">
        <f t="shared" si="18"/>
        <v>0</v>
      </c>
      <c r="AC222" s="55">
        <f t="shared" si="20"/>
        <v>0</v>
      </c>
    </row>
    <row r="223" spans="1:29">
      <c r="A223" t="s">
        <v>55</v>
      </c>
      <c r="B223" s="16" t="str">
        <f>INDEX(emprunts!C:C,MATCH($A223,emprunts!A:A,0))</f>
        <v>CDC</v>
      </c>
      <c r="C223" s="18">
        <f>INDEX(emprunts!M:M,MATCH($A223,emprunts!$A:$A,0))</f>
        <v>37530</v>
      </c>
      <c r="D223" s="18">
        <f>IF(INDEX(emprunts!O:O,MATCH($A223,emprunts!$A:$A,0))="",INDEX(emprunts!N:N,MATCH($A223,emprunts!$A:$A,0)),MIN(INDEX(emprunts!N:N,MATCH($A223,emprunts!$A:$A,0)),INDEX(emprunts!O:O,MATCH($A223,emprunts!$A:$A,0))))</f>
        <v>37530</v>
      </c>
      <c r="E223" s="52">
        <f>INDEX(emprunts!I:I,MATCH($A223,emprunts!$A:$A,0))</f>
        <v>20</v>
      </c>
      <c r="F223" s="18" t="str">
        <f>INDEX(emprunts!P:P,MATCH($A223,emprunts!$A:$A,0))</f>
        <v>Livret A</v>
      </c>
      <c r="G223" s="126" t="str">
        <f>IF(LEFT(A223,3)="vx_","vx",INDEX(Categorie,MATCH($A223,emprunts!$A$2:$A$149,0)))</f>
        <v>Livr_A</v>
      </c>
      <c r="H223">
        <v>2005</v>
      </c>
      <c r="I223">
        <f t="shared" si="14"/>
        <v>1</v>
      </c>
      <c r="L223" s="5">
        <v>37631</v>
      </c>
      <c r="M223" s="5">
        <v>37631</v>
      </c>
      <c r="N223" s="14">
        <v>1593000</v>
      </c>
      <c r="O223" s="14">
        <v>0</v>
      </c>
      <c r="P223" s="4">
        <v>2.5000000000000001E-2</v>
      </c>
      <c r="Q223" s="14">
        <v>36777.410000000003</v>
      </c>
      <c r="R223" s="14">
        <v>1471096.52</v>
      </c>
      <c r="S223" s="14"/>
      <c r="T223" s="14">
        <v>0</v>
      </c>
      <c r="U223" s="14">
        <v>1507873.93</v>
      </c>
      <c r="V223" s="14">
        <f t="shared" si="19"/>
        <v>0</v>
      </c>
      <c r="X223" s="85">
        <f t="shared" si="15"/>
        <v>0</v>
      </c>
      <c r="Y223" s="21" t="e">
        <f t="shared" si="16"/>
        <v>#DIV/0!</v>
      </c>
      <c r="AA223" s="55">
        <f t="shared" si="17"/>
        <v>27608.250000000004</v>
      </c>
      <c r="AB223" s="55">
        <f t="shared" si="18"/>
        <v>-0.47999999998137355</v>
      </c>
      <c r="AC223" s="55">
        <f t="shared" si="20"/>
        <v>0</v>
      </c>
    </row>
    <row r="224" spans="1:29">
      <c r="A224" t="s">
        <v>57</v>
      </c>
      <c r="B224" s="16" t="str">
        <f>INDEX(emprunts!C:C,MATCH($A224,emprunts!A:A,0))</f>
        <v>Dexia CL</v>
      </c>
      <c r="C224" s="18">
        <f>INDEX(emprunts!M:M,MATCH($A224,emprunts!$A:$A,0))</f>
        <v>37533</v>
      </c>
      <c r="D224" s="18">
        <f>IF(INDEX(emprunts!O:O,MATCH($A224,emprunts!$A:$A,0))="",INDEX(emprunts!N:N,MATCH($A224,emprunts!$A:$A,0)),MIN(INDEX(emprunts!N:N,MATCH($A224,emprunts!$A:$A,0)),INDEX(emprunts!O:O,MATCH($A224,emprunts!$A:$A,0))))</f>
        <v>38193</v>
      </c>
      <c r="E224" s="52">
        <f>INDEX(emprunts!I:I,MATCH($A224,emprunts!$A:$A,0))</f>
        <v>20</v>
      </c>
      <c r="F224" s="18" t="str">
        <f>INDEX(emprunts!P:P,MATCH($A224,emprunts!$A:$A,0))</f>
        <v>Fixe</v>
      </c>
      <c r="G224" s="126" t="str">
        <f>IF(LEFT(A224,3)="vx_","vx",INDEX(Categorie,MATCH($A224,emprunts!$A$2:$A$149,0)))</f>
        <v>Non_st</v>
      </c>
      <c r="H224">
        <v>2005</v>
      </c>
      <c r="I224">
        <f t="shared" si="14"/>
        <v>1</v>
      </c>
      <c r="N224" s="14"/>
      <c r="O224" s="14"/>
      <c r="Q224" s="14"/>
      <c r="R224" s="14"/>
      <c r="S224" s="14"/>
      <c r="T224" s="14"/>
      <c r="U224" s="14"/>
      <c r="V224" s="14" t="str">
        <f t="shared" si="19"/>
        <v/>
      </c>
      <c r="X224" s="85">
        <f t="shared" si="15"/>
        <v>0</v>
      </c>
      <c r="Y224" s="21" t="str">
        <f t="shared" si="16"/>
        <v/>
      </c>
      <c r="AA224" s="55">
        <f t="shared" si="17"/>
        <v>0</v>
      </c>
      <c r="AB224" s="55">
        <f t="shared" si="18"/>
        <v>0</v>
      </c>
      <c r="AC224" s="55">
        <f t="shared" si="20"/>
        <v>0</v>
      </c>
    </row>
    <row r="225" spans="1:29">
      <c r="A225" t="s">
        <v>59</v>
      </c>
      <c r="B225" s="16" t="str">
        <f>INDEX(emprunts!C:C,MATCH($A225,emprunts!A:A,0))</f>
        <v>CDC</v>
      </c>
      <c r="C225" s="18">
        <f>INDEX(emprunts!M:M,MATCH($A225,emprunts!$A:$A,0))</f>
        <v>37621</v>
      </c>
      <c r="D225" s="18">
        <f>IF(INDEX(emprunts!O:O,MATCH($A225,emprunts!$A:$A,0))="",INDEX(emprunts!N:N,MATCH($A225,emprunts!$A:$A,0)),MIN(INDEX(emprunts!N:N,MATCH($A225,emprunts!$A:$A,0)),INDEX(emprunts!O:O,MATCH($A225,emprunts!$A:$A,0))))</f>
        <v>44927</v>
      </c>
      <c r="E225" s="52">
        <f>INDEX(emprunts!I:I,MATCH($A225,emprunts!$A:$A,0))</f>
        <v>20</v>
      </c>
      <c r="F225" s="18" t="str">
        <f>INDEX(emprunts!P:P,MATCH($A225,emprunts!$A:$A,0))</f>
        <v>Livret A</v>
      </c>
      <c r="G225" s="126" t="str">
        <f>IF(LEFT(A225,3)="vx_","vx",INDEX(Categorie,MATCH($A225,emprunts!$A$2:$A$149,0)))</f>
        <v>Livr_A</v>
      </c>
      <c r="H225">
        <v>2005</v>
      </c>
      <c r="I225">
        <f t="shared" si="14"/>
        <v>1</v>
      </c>
      <c r="N225" s="14">
        <v>4190000</v>
      </c>
      <c r="O225" s="14">
        <v>3880455</v>
      </c>
      <c r="P225" s="4">
        <v>3.4500000000000003E-2</v>
      </c>
      <c r="Q225" s="14">
        <v>139800.48000000001</v>
      </c>
      <c r="R225" s="14">
        <v>171733.19</v>
      </c>
      <c r="S225" s="14"/>
      <c r="T225" s="14">
        <v>133508.9</v>
      </c>
      <c r="U225" s="14">
        <f>SUM(Q225:S225)</f>
        <v>311533.67000000004</v>
      </c>
      <c r="V225" s="14">
        <f t="shared" si="19"/>
        <v>0</v>
      </c>
      <c r="X225" s="85">
        <f t="shared" si="15"/>
        <v>0</v>
      </c>
      <c r="Y225" s="21">
        <f t="shared" si="16"/>
        <v>3.384967629192951E-2</v>
      </c>
      <c r="AA225" s="55">
        <f t="shared" si="17"/>
        <v>133890.87</v>
      </c>
      <c r="AB225" s="55">
        <f t="shared" si="18"/>
        <v>0.18999999994412065</v>
      </c>
      <c r="AC225" s="55">
        <f t="shared" si="20"/>
        <v>3955454.9604931511</v>
      </c>
    </row>
    <row r="226" spans="1:29">
      <c r="A226" t="s">
        <v>60</v>
      </c>
      <c r="B226" s="16" t="str">
        <f>INDEX(emprunts!C:C,MATCH($A226,emprunts!A:A,0))</f>
        <v>Dexia CL</v>
      </c>
      <c r="C226" s="18">
        <f>INDEX(emprunts!M:M,MATCH($A226,emprunts!$A:$A,0))</f>
        <v>37622</v>
      </c>
      <c r="D226" s="18">
        <f>IF(INDEX(emprunts!O:O,MATCH($A226,emprunts!$A:$A,0))="",INDEX(emprunts!N:N,MATCH($A226,emprunts!$A:$A,0)),MIN(INDEX(emprunts!N:N,MATCH($A226,emprunts!$A:$A,0)),INDEX(emprunts!O:O,MATCH($A226,emprunts!$A:$A,0))))</f>
        <v>39350</v>
      </c>
      <c r="E226" s="52">
        <f>INDEX(emprunts!I:I,MATCH($A226,emprunts!$A:$A,0))</f>
        <v>14</v>
      </c>
      <c r="F226" s="18" t="str">
        <f>INDEX(emprunts!P:P,MATCH($A226,emprunts!$A:$A,0))</f>
        <v>Barrière hors zone EUR</v>
      </c>
      <c r="G226" s="126" t="str">
        <f>IF(LEFT(A226,3)="vx_","vx",INDEX(Categorie,MATCH($A226,emprunts!$A$2:$A$149,0)))</f>
        <v>Struct</v>
      </c>
      <c r="H226">
        <v>2005</v>
      </c>
      <c r="I226">
        <f t="shared" si="14"/>
        <v>1</v>
      </c>
      <c r="L226" s="5">
        <v>37987</v>
      </c>
      <c r="M226" s="5">
        <v>37987</v>
      </c>
      <c r="N226" s="14">
        <v>11919139.83</v>
      </c>
      <c r="O226" s="14">
        <v>10750767</v>
      </c>
      <c r="P226" s="4">
        <v>2.63E-2</v>
      </c>
      <c r="Q226" s="14">
        <v>263600.28000000003</v>
      </c>
      <c r="R226" s="14">
        <v>601201.44999999995</v>
      </c>
      <c r="S226" s="14"/>
      <c r="T226" s="14">
        <v>302856.61</v>
      </c>
      <c r="U226" s="14">
        <v>864801.73</v>
      </c>
      <c r="V226" s="14">
        <f t="shared" si="19"/>
        <v>0</v>
      </c>
      <c r="X226" s="85">
        <f t="shared" si="15"/>
        <v>0</v>
      </c>
      <c r="Y226" s="21">
        <f t="shared" si="16"/>
        <v>2.7545082188478152E-2</v>
      </c>
      <c r="AA226" s="55">
        <f t="shared" si="17"/>
        <v>303576.83</v>
      </c>
      <c r="AB226" s="55">
        <f t="shared" si="18"/>
        <v>-0.55000000074505806</v>
      </c>
      <c r="AC226" s="55">
        <f t="shared" si="20"/>
        <v>11021090.005205479</v>
      </c>
    </row>
    <row r="227" spans="1:29">
      <c r="A227" t="s">
        <v>64</v>
      </c>
      <c r="B227" s="16" t="str">
        <f>INDEX(emprunts!C:C,MATCH($A227,emprunts!A:A,0))</f>
        <v>Dexia CL</v>
      </c>
      <c r="C227" s="18">
        <f>INDEX(emprunts!M:M,MATCH($A227,emprunts!$A:$A,0))</f>
        <v>37681</v>
      </c>
      <c r="D227" s="18">
        <f>IF(INDEX(emprunts!O:O,MATCH($A227,emprunts!$A:$A,0))="",INDEX(emprunts!N:N,MATCH($A227,emprunts!$A:$A,0)),MIN(INDEX(emprunts!N:N,MATCH($A227,emprunts!$A:$A,0)),INDEX(emprunts!O:O,MATCH($A227,emprunts!$A:$A,0))))</f>
        <v>38443</v>
      </c>
      <c r="E227" s="52">
        <f>INDEX(emprunts!I:I,MATCH($A227,emprunts!$A:$A,0))</f>
        <v>15</v>
      </c>
      <c r="F227" s="18" t="str">
        <f>INDEX(emprunts!P:P,MATCH($A227,emprunts!$A:$A,0))</f>
        <v>Barrière</v>
      </c>
      <c r="G227" s="126" t="str">
        <f>IF(LEFT(A227,3)="vx_","vx",INDEX(Categorie,MATCH($A227,emprunts!$A$2:$A$149,0)))</f>
        <v>Struct</v>
      </c>
      <c r="H227">
        <v>2005</v>
      </c>
      <c r="I227">
        <f t="shared" si="14"/>
        <v>1</v>
      </c>
      <c r="N227" s="14"/>
      <c r="O227" s="14">
        <v>0</v>
      </c>
      <c r="P227" s="4">
        <v>4.5499999999999999E-2</v>
      </c>
      <c r="Q227" s="14">
        <v>401093.18</v>
      </c>
      <c r="R227" s="14">
        <v>382764</v>
      </c>
      <c r="S227" s="14"/>
      <c r="T227" s="14">
        <v>0</v>
      </c>
      <c r="U227" s="14">
        <f>SUM(Q227:S227)</f>
        <v>783857.17999999993</v>
      </c>
      <c r="V227" s="14">
        <f t="shared" si="19"/>
        <v>0</v>
      </c>
      <c r="X227" s="85">
        <f t="shared" si="15"/>
        <v>7661000</v>
      </c>
      <c r="Y227" s="21">
        <f t="shared" si="16"/>
        <v>4.7007107878574636E-2</v>
      </c>
      <c r="AA227" s="55">
        <f t="shared" si="17"/>
        <v>91015.339999999967</v>
      </c>
      <c r="AB227" s="55">
        <f t="shared" si="18"/>
        <v>-50</v>
      </c>
      <c r="AC227" s="55">
        <f t="shared" si="20"/>
        <v>1936203.7808219178</v>
      </c>
    </row>
    <row r="228" spans="1:29">
      <c r="A228" t="s">
        <v>71</v>
      </c>
      <c r="B228" s="16" t="str">
        <f>INDEX(emprunts!C:C,MATCH($A228,emprunts!A:A,0))</f>
        <v>Dexia CL</v>
      </c>
      <c r="C228" s="18">
        <f>INDEX(emprunts!M:M,MATCH($A228,emprunts!$A:$A,0))</f>
        <v>37742</v>
      </c>
      <c r="D228" s="18">
        <f>IF(INDEX(emprunts!O:O,MATCH($A228,emprunts!$A:$A,0))="",INDEX(emprunts!N:N,MATCH($A228,emprunts!$A:$A,0)),MIN(INDEX(emprunts!N:N,MATCH($A228,emprunts!$A:$A,0)),INDEX(emprunts!O:O,MATCH($A228,emprunts!$A:$A,0))))</f>
        <v>38443</v>
      </c>
      <c r="E228" s="52">
        <f>INDEX(emprunts!I:I,MATCH($A228,emprunts!$A:$A,0))</f>
        <v>8</v>
      </c>
      <c r="F228" s="18" t="str">
        <f>INDEX(emprunts!P:P,MATCH($A228,emprunts!$A:$A,0))</f>
        <v>Barrière</v>
      </c>
      <c r="G228" s="126" t="str">
        <f>IF(LEFT(A228,3)="vx_","vx",INDEX(Categorie,MATCH($A228,emprunts!$A$2:$A$149,0)))</f>
        <v>Struct</v>
      </c>
      <c r="H228">
        <v>2005</v>
      </c>
      <c r="I228">
        <f t="shared" si="14"/>
        <v>1</v>
      </c>
      <c r="N228" s="14"/>
      <c r="O228" s="14">
        <v>0</v>
      </c>
      <c r="P228" s="4">
        <v>4.5499999999999999E-2</v>
      </c>
      <c r="Q228" s="14">
        <v>95403.05</v>
      </c>
      <c r="R228" s="14">
        <v>0</v>
      </c>
      <c r="S228" s="14"/>
      <c r="T228" s="14">
        <v>9</v>
      </c>
      <c r="U228" s="14">
        <v>95403.05</v>
      </c>
      <c r="V228" s="14">
        <f t="shared" si="19"/>
        <v>0</v>
      </c>
      <c r="X228" s="85">
        <f t="shared" si="15"/>
        <v>2253000</v>
      </c>
      <c r="Y228" s="21">
        <f t="shared" si="16"/>
        <v>4.6665799921092856E-2</v>
      </c>
      <c r="AA228" s="55">
        <f t="shared" si="17"/>
        <v>25924.449999999997</v>
      </c>
      <c r="AB228" s="55">
        <f t="shared" si="18"/>
        <v>-246</v>
      </c>
      <c r="AC228" s="55">
        <f t="shared" si="20"/>
        <v>555534.24657534249</v>
      </c>
    </row>
    <row r="229" spans="1:29">
      <c r="A229" t="s">
        <v>72</v>
      </c>
      <c r="B229" s="16" t="str">
        <f>INDEX(emprunts!C:C,MATCH($A229,emprunts!A:A,0))</f>
        <v>Dexia CL</v>
      </c>
      <c r="C229" s="18">
        <f>INDEX(emprunts!M:M,MATCH($A229,emprunts!$A:$A,0))</f>
        <v>37756</v>
      </c>
      <c r="D229" s="18">
        <f>IF(INDEX(emprunts!O:O,MATCH($A229,emprunts!$A:$A,0))="",INDEX(emprunts!N:N,MATCH($A229,emprunts!$A:$A,0)),MIN(INDEX(emprunts!N:N,MATCH($A229,emprunts!$A:$A,0)),INDEX(emprunts!O:O,MATCH($A229,emprunts!$A:$A,0))))</f>
        <v>39539</v>
      </c>
      <c r="E229" s="52">
        <f>INDEX(emprunts!I:I,MATCH($A229,emprunts!$A:$A,0))</f>
        <v>20</v>
      </c>
      <c r="F229" s="18" t="str">
        <f>INDEX(emprunts!P:P,MATCH($A229,emprunts!$A:$A,0))</f>
        <v>Barrière hors zone EUR</v>
      </c>
      <c r="G229" s="126" t="str">
        <f>IF(LEFT(A229,3)="vx_","vx",INDEX(Categorie,MATCH($A229,emprunts!$A$2:$A$149,0)))</f>
        <v>Struct</v>
      </c>
      <c r="H229">
        <v>2005</v>
      </c>
      <c r="I229">
        <f t="shared" si="14"/>
        <v>1</v>
      </c>
      <c r="N229" s="14">
        <v>10998754.630000001</v>
      </c>
      <c r="O229" s="14">
        <v>10587848</v>
      </c>
      <c r="P229" s="4">
        <v>0.04</v>
      </c>
      <c r="Q229" s="14">
        <v>441691.65</v>
      </c>
      <c r="R229" s="14">
        <v>410906.16</v>
      </c>
      <c r="S229" s="14"/>
      <c r="T229" s="14">
        <v>386853.52</v>
      </c>
      <c r="U229" s="14">
        <f>SUM(Q229:S229)</f>
        <v>852597.81</v>
      </c>
      <c r="V229" s="14">
        <f t="shared" si="19"/>
        <v>0</v>
      </c>
      <c r="X229" s="85">
        <f t="shared" si="15"/>
        <v>0</v>
      </c>
      <c r="Y229" s="21">
        <f t="shared" si="16"/>
        <v>3.9528244809243281E-2</v>
      </c>
      <c r="AA229" s="55">
        <f t="shared" si="17"/>
        <v>425471.37000000005</v>
      </c>
      <c r="AB229" s="55">
        <f t="shared" si="18"/>
        <v>-0.83999999985098839</v>
      </c>
      <c r="AC229" s="55">
        <f t="shared" si="20"/>
        <v>10763730.39210959</v>
      </c>
    </row>
    <row r="230" spans="1:29">
      <c r="A230" t="s">
        <v>78</v>
      </c>
      <c r="B230" s="16" t="str">
        <f>INDEX(emprunts!C:C,MATCH($A230,emprunts!A:A,0))</f>
        <v>Dexia CL</v>
      </c>
      <c r="C230" s="18">
        <f>INDEX(emprunts!M:M,MATCH($A230,emprunts!$A:$A,0))</f>
        <v>37772</v>
      </c>
      <c r="D230" s="18">
        <f>IF(INDEX(emprunts!O:O,MATCH($A230,emprunts!$A:$A,0))="",INDEX(emprunts!N:N,MATCH($A230,emprunts!$A:$A,0)),MIN(INDEX(emprunts!N:N,MATCH($A230,emprunts!$A:$A,0)),INDEX(emprunts!O:O,MATCH($A230,emprunts!$A:$A,0))))</f>
        <v>38443</v>
      </c>
      <c r="E230" s="52">
        <f>INDEX(emprunts!I:I,MATCH($A230,emprunts!$A:$A,0))</f>
        <v>20</v>
      </c>
      <c r="F230" s="18" t="str">
        <f>INDEX(emprunts!P:P,MATCH($A230,emprunts!$A:$A,0))</f>
        <v>Barrière</v>
      </c>
      <c r="G230" s="126" t="str">
        <f>IF(LEFT(A230,3)="vx_","vx",INDEX(Categorie,MATCH($A230,emprunts!$A$2:$A$149,0)))</f>
        <v>Struct</v>
      </c>
      <c r="H230">
        <v>2005</v>
      </c>
      <c r="I230">
        <f t="shared" si="14"/>
        <v>1</v>
      </c>
      <c r="N230" s="14">
        <v>4700000</v>
      </c>
      <c r="O230" s="14">
        <v>0</v>
      </c>
      <c r="P230" s="4">
        <v>4.4400000000000002E-2</v>
      </c>
      <c r="Q230" s="14">
        <v>170889.36</v>
      </c>
      <c r="R230" s="14">
        <v>0</v>
      </c>
      <c r="S230" s="14"/>
      <c r="T230" s="14">
        <v>0</v>
      </c>
      <c r="U230" s="14">
        <v>170889.36</v>
      </c>
      <c r="V230" s="14">
        <f t="shared" si="19"/>
        <v>0</v>
      </c>
      <c r="X230" s="85">
        <f t="shared" si="15"/>
        <v>4558000</v>
      </c>
      <c r="Y230" s="21">
        <f t="shared" si="16"/>
        <v>4.5515451952610787E-2</v>
      </c>
      <c r="AA230" s="55">
        <f t="shared" si="17"/>
        <v>51154.37999999999</v>
      </c>
      <c r="AB230" s="55">
        <f t="shared" si="18"/>
        <v>140</v>
      </c>
      <c r="AC230" s="55">
        <f t="shared" si="20"/>
        <v>1123890.4109589041</v>
      </c>
    </row>
    <row r="231" spans="1:29">
      <c r="A231" t="s">
        <v>79</v>
      </c>
      <c r="B231" s="16" t="str">
        <f>INDEX(emprunts!C:C,MATCH($A231,emprunts!A:A,0))</f>
        <v>Caisse d'Épargne</v>
      </c>
      <c r="C231" s="18">
        <f>INDEX(emprunts!M:M,MATCH($A231,emprunts!$A:$A,0))</f>
        <v>37803</v>
      </c>
      <c r="D231" s="18">
        <f>IF(INDEX(emprunts!O:O,MATCH($A231,emprunts!$A:$A,0))="",INDEX(emprunts!N:N,MATCH($A231,emprunts!$A:$A,0)),MIN(INDEX(emprunts!N:N,MATCH($A231,emprunts!$A:$A,0)),INDEX(emprunts!O:O,MATCH($A231,emprunts!$A:$A,0))))</f>
        <v>38773</v>
      </c>
      <c r="E231" s="52">
        <f>INDEX(emprunts!I:I,MATCH($A231,emprunts!$A:$A,0))</f>
        <v>20</v>
      </c>
      <c r="F231" s="18" t="str">
        <f>INDEX(emprunts!P:P,MATCH($A231,emprunts!$A:$A,0))</f>
        <v>Barrière hors zone EUR</v>
      </c>
      <c r="G231" s="126" t="str">
        <f>IF(LEFT(A231,3)="vx_","vx",INDEX(Categorie,MATCH($A231,emprunts!$A$2:$A$149,0)))</f>
        <v>Struct</v>
      </c>
      <c r="H231">
        <v>2005</v>
      </c>
      <c r="I231">
        <f t="shared" si="14"/>
        <v>1</v>
      </c>
      <c r="N231" s="14">
        <v>842000</v>
      </c>
      <c r="O231" s="14">
        <v>780480</v>
      </c>
      <c r="P231" s="4">
        <v>3.2899999999999999E-2</v>
      </c>
      <c r="Q231" s="14">
        <v>27078.59</v>
      </c>
      <c r="R231" s="14">
        <v>31302.23</v>
      </c>
      <c r="S231" s="14"/>
      <c r="T231" s="14">
        <v>13052.88</v>
      </c>
      <c r="U231" s="14">
        <f t="shared" ref="U231:U236" si="21">SUM(Q231:S231)</f>
        <v>58380.82</v>
      </c>
      <c r="V231" s="14">
        <f t="shared" si="19"/>
        <v>0</v>
      </c>
      <c r="X231" s="85">
        <f t="shared" si="15"/>
        <v>0</v>
      </c>
      <c r="Y231" s="21">
        <f t="shared" si="16"/>
        <v>3.3446794145815438E-2</v>
      </c>
      <c r="AA231" s="55">
        <f t="shared" si="17"/>
        <v>26555.08</v>
      </c>
      <c r="AB231" s="55">
        <f t="shared" si="18"/>
        <v>-0.77000000001862645</v>
      </c>
      <c r="AC231" s="55">
        <f t="shared" si="20"/>
        <v>793949.93386301375</v>
      </c>
    </row>
    <row r="232" spans="1:29">
      <c r="A232" t="s">
        <v>84</v>
      </c>
      <c r="B232" s="16" t="str">
        <f>INDEX(emprunts!C:C,MATCH($A232,emprunts!A:A,0))</f>
        <v>Caisse d'Épargne</v>
      </c>
      <c r="C232" s="18">
        <f>INDEX(emprunts!M:M,MATCH($A232,emprunts!$A:$A,0))</f>
        <v>37865</v>
      </c>
      <c r="D232" s="18">
        <f>IF(INDEX(emprunts!O:O,MATCH($A232,emprunts!$A:$A,0))="",INDEX(emprunts!N:N,MATCH($A232,emprunts!$A:$A,0)),MIN(INDEX(emprunts!N:N,MATCH($A232,emprunts!$A:$A,0)),INDEX(emprunts!O:O,MATCH($A232,emprunts!$A:$A,0))))</f>
        <v>38961</v>
      </c>
      <c r="E232" s="52">
        <f>INDEX(emprunts!I:I,MATCH($A232,emprunts!$A:$A,0))</f>
        <v>3</v>
      </c>
      <c r="F232" s="18" t="str">
        <f>INDEX(emprunts!P:P,MATCH($A232,emprunts!$A:$A,0))</f>
        <v>Fixe</v>
      </c>
      <c r="G232" s="126" t="str">
        <f>IF(LEFT(A232,3)="vx_","vx",INDEX(Categorie,MATCH($A232,emprunts!$A$2:$A$149,0)))</f>
        <v>Non_st</v>
      </c>
      <c r="H232">
        <v>2005</v>
      </c>
      <c r="I232">
        <f t="shared" si="14"/>
        <v>1</v>
      </c>
      <c r="N232" s="14">
        <v>959000</v>
      </c>
      <c r="O232" s="14">
        <v>247645</v>
      </c>
      <c r="P232" s="4">
        <v>2.9100000000000001E-2</v>
      </c>
      <c r="Q232" s="14">
        <v>12303.06</v>
      </c>
      <c r="R232" s="14">
        <v>321907.26</v>
      </c>
      <c r="S232" s="14"/>
      <c r="T232" s="14">
        <v>581.16999999999996</v>
      </c>
      <c r="U232" s="14">
        <f t="shared" si="21"/>
        <v>334210.32</v>
      </c>
      <c r="V232" s="14">
        <f t="shared" si="19"/>
        <v>0</v>
      </c>
      <c r="X232" s="85">
        <f t="shared" si="15"/>
        <v>0</v>
      </c>
      <c r="Y232" s="21">
        <f t="shared" si="16"/>
        <v>2.8339410989935292E-2</v>
      </c>
      <c r="AA232" s="55">
        <f t="shared" si="17"/>
        <v>11547.72</v>
      </c>
      <c r="AB232" s="55">
        <f t="shared" si="18"/>
        <v>-0.73999999999068677</v>
      </c>
      <c r="AC232" s="55">
        <f t="shared" si="20"/>
        <v>407479.18169863016</v>
      </c>
    </row>
    <row r="233" spans="1:29">
      <c r="A233" t="s">
        <v>86</v>
      </c>
      <c r="B233" s="16" t="str">
        <f>INDEX(emprunts!C:C,MATCH($A233,emprunts!A:A,0))</f>
        <v>Caisse d'Épargne</v>
      </c>
      <c r="C233" s="18">
        <f>INDEX(emprunts!M:M,MATCH($A233,emprunts!$A:$A,0))</f>
        <v>38022</v>
      </c>
      <c r="D233" s="18">
        <f>IF(INDEX(emprunts!O:O,MATCH($A233,emprunts!$A:$A,0))="",INDEX(emprunts!N:N,MATCH($A233,emprunts!$A:$A,0)),MIN(INDEX(emprunts!N:N,MATCH($A233,emprunts!$A:$A,0)),INDEX(emprunts!O:O,MATCH($A233,emprunts!$A:$A,0))))</f>
        <v>40719</v>
      </c>
      <c r="E233" s="52">
        <f>INDEX(emprunts!I:I,MATCH($A233,emprunts!$A:$A,0))</f>
        <v>7</v>
      </c>
      <c r="F233" s="18" t="str">
        <f>INDEX(emprunts!P:P,MATCH($A233,emprunts!$A:$A,0))</f>
        <v>Fixe</v>
      </c>
      <c r="G233" s="126" t="str">
        <f>IF(LEFT(A233,3)="vx_","vx",INDEX(Categorie,MATCH($A233,emprunts!$A$2:$A$149,0)))</f>
        <v>Non_st</v>
      </c>
      <c r="H233">
        <v>2005</v>
      </c>
      <c r="I233">
        <f t="shared" si="14"/>
        <v>1</v>
      </c>
      <c r="N233" s="14">
        <v>4324063.92</v>
      </c>
      <c r="O233" s="14">
        <v>3283934</v>
      </c>
      <c r="P233" s="4">
        <v>3.7999999999999999E-2</v>
      </c>
      <c r="Q233" s="14">
        <v>143005.6</v>
      </c>
      <c r="R233" s="14">
        <v>479371.09</v>
      </c>
      <c r="S233" s="14"/>
      <c r="T233" s="14">
        <v>64617.02</v>
      </c>
      <c r="U233" s="14">
        <f t="shared" si="21"/>
        <v>622376.69000000006</v>
      </c>
      <c r="V233" s="14">
        <f t="shared" si="19"/>
        <v>0</v>
      </c>
      <c r="X233" s="85">
        <f t="shared" si="15"/>
        <v>0</v>
      </c>
      <c r="Y233" s="21">
        <f t="shared" si="16"/>
        <v>3.8012077486028417E-2</v>
      </c>
      <c r="AA233" s="55">
        <f t="shared" si="17"/>
        <v>133573.14000000001</v>
      </c>
      <c r="AB233" s="55">
        <f t="shared" si="18"/>
        <v>8.9999999850988388E-2</v>
      </c>
      <c r="AC233" s="55">
        <f t="shared" si="20"/>
        <v>3513965.7928219177</v>
      </c>
    </row>
    <row r="234" spans="1:29">
      <c r="A234" t="s">
        <v>88</v>
      </c>
      <c r="B234" s="16" t="str">
        <f>INDEX(emprunts!C:C,MATCH($A234,emprunts!A:A,0))</f>
        <v>Dexia CL</v>
      </c>
      <c r="C234" s="18">
        <f>INDEX(emprunts!M:M,MATCH($A234,emprunts!$A:$A,0))</f>
        <v>38077</v>
      </c>
      <c r="D234" s="18">
        <f>IF(INDEX(emprunts!O:O,MATCH($A234,emprunts!$A:$A,0))="",INDEX(emprunts!N:N,MATCH($A234,emprunts!$A:$A,0)),MIN(INDEX(emprunts!N:N,MATCH($A234,emprunts!$A:$A,0)),INDEX(emprunts!O:O,MATCH($A234,emprunts!$A:$A,0))))</f>
        <v>39173</v>
      </c>
      <c r="E234" s="52">
        <f>INDEX(emprunts!I:I,MATCH($A234,emprunts!$A:$A,0))</f>
        <v>3</v>
      </c>
      <c r="F234" s="18" t="str">
        <f>INDEX(emprunts!P:P,MATCH($A234,emprunts!$A:$A,0))</f>
        <v>Fixe</v>
      </c>
      <c r="G234" s="126" t="str">
        <f>IF(LEFT(A234,3)="vx_","vx",INDEX(Categorie,MATCH($A234,emprunts!$A$2:$A$149,0)))</f>
        <v>Non_st</v>
      </c>
      <c r="H234">
        <v>2005</v>
      </c>
      <c r="I234">
        <f t="shared" si="14"/>
        <v>1</v>
      </c>
      <c r="N234" s="14"/>
      <c r="O234" s="14">
        <v>118596</v>
      </c>
      <c r="P234" s="4">
        <v>2.7E-2</v>
      </c>
      <c r="Q234" s="14">
        <v>4883.2</v>
      </c>
      <c r="R234" s="14">
        <v>59298.12</v>
      </c>
      <c r="S234" s="14"/>
      <c r="T234" s="14">
        <v>2437.15</v>
      </c>
      <c r="U234" s="14">
        <f t="shared" si="21"/>
        <v>64181.32</v>
      </c>
      <c r="V234" s="14">
        <f t="shared" si="19"/>
        <v>0</v>
      </c>
      <c r="X234" s="85">
        <f t="shared" si="15"/>
        <v>0</v>
      </c>
      <c r="Y234" s="21">
        <f t="shared" si="16"/>
        <v>2.2401071673388069E-2</v>
      </c>
      <c r="AA234" s="55">
        <f t="shared" si="17"/>
        <v>3311.7500000000005</v>
      </c>
      <c r="AB234" s="55">
        <f t="shared" si="18"/>
        <v>0.11999999999534339</v>
      </c>
      <c r="AC234" s="55">
        <f t="shared" si="20"/>
        <v>147838.90915068492</v>
      </c>
    </row>
    <row r="235" spans="1:29">
      <c r="A235" t="s">
        <v>90</v>
      </c>
      <c r="B235" s="16" t="str">
        <f>INDEX(emprunts!C:C,MATCH($A235,emprunts!A:A,0))</f>
        <v>Dexia CL</v>
      </c>
      <c r="C235" s="18">
        <f>INDEX(emprunts!M:M,MATCH($A235,emprunts!$A:$A,0))</f>
        <v>38087</v>
      </c>
      <c r="D235" s="18">
        <f>IF(INDEX(emprunts!O:O,MATCH($A235,emprunts!$A:$A,0))="",INDEX(emprunts!N:N,MATCH($A235,emprunts!$A:$A,0)),MIN(INDEX(emprunts!N:N,MATCH($A235,emprunts!$A:$A,0)),INDEX(emprunts!O:O,MATCH($A235,emprunts!$A:$A,0))))</f>
        <v>38687</v>
      </c>
      <c r="E235" s="52">
        <f>INDEX(emprunts!I:I,MATCH($A235,emprunts!$A:$A,0))</f>
        <v>17.75</v>
      </c>
      <c r="F235" s="18" t="str">
        <f>INDEX(emprunts!P:P,MATCH($A235,emprunts!$A:$A,0))</f>
        <v>Barrière avec multiplicateur</v>
      </c>
      <c r="G235" s="126" t="str">
        <f>IF(LEFT(A235,3)="vx_","vx",INDEX(Categorie,MATCH($A235,emprunts!$A$2:$A$149,0)))</f>
        <v>Struct</v>
      </c>
      <c r="H235">
        <v>2005</v>
      </c>
      <c r="I235">
        <f t="shared" si="14"/>
        <v>1</v>
      </c>
      <c r="N235" s="14"/>
      <c r="O235" s="14">
        <v>0</v>
      </c>
      <c r="P235" s="4">
        <v>4.24E-2</v>
      </c>
      <c r="Q235" s="14">
        <v>567946.29</v>
      </c>
      <c r="R235" s="14">
        <v>341425</v>
      </c>
      <c r="S235" s="14"/>
      <c r="T235" s="14">
        <v>0</v>
      </c>
      <c r="U235" s="14">
        <f t="shared" si="21"/>
        <v>909371.29</v>
      </c>
      <c r="V235" s="14">
        <f t="shared" si="19"/>
        <v>0</v>
      </c>
      <c r="X235" s="85">
        <f t="shared" si="15"/>
        <v>12870000</v>
      </c>
      <c r="Y235" s="21">
        <f t="shared" si="16"/>
        <v>4.3682178002206459E-2</v>
      </c>
      <c r="AA235" s="55">
        <f t="shared" si="17"/>
        <v>521265.77</v>
      </c>
      <c r="AB235" s="55">
        <f t="shared" si="18"/>
        <v>-42</v>
      </c>
      <c r="AC235" s="55">
        <f t="shared" si="20"/>
        <v>11933145.136986302</v>
      </c>
    </row>
    <row r="236" spans="1:29">
      <c r="A236" t="s">
        <v>96</v>
      </c>
      <c r="B236" s="16" t="str">
        <f>INDEX(emprunts!C:C,MATCH($A236,emprunts!A:A,0))</f>
        <v>Dexia CL</v>
      </c>
      <c r="C236" s="18">
        <f>INDEX(emprunts!M:M,MATCH($A236,emprunts!$A:$A,0))</f>
        <v>38087</v>
      </c>
      <c r="D236" s="18">
        <f>IF(INDEX(emprunts!O:O,MATCH($A236,emprunts!$A:$A,0))="",INDEX(emprunts!N:N,MATCH($A236,emprunts!$A:$A,0)),MIN(INDEX(emprunts!N:N,MATCH($A236,emprunts!$A:$A,0)),INDEX(emprunts!O:O,MATCH($A236,emprunts!$A:$A,0))))</f>
        <v>38534</v>
      </c>
      <c r="E236" s="52">
        <f>INDEX(emprunts!I:I,MATCH($A236,emprunts!$A:$A,0))</f>
        <v>15</v>
      </c>
      <c r="F236" s="18" t="str">
        <f>INDEX(emprunts!P:P,MATCH($A236,emprunts!$A:$A,0))</f>
        <v>Barrière hors zone EUR</v>
      </c>
      <c r="G236" s="126" t="str">
        <f>IF(LEFT(A236,3)="vx_","vx",INDEX(Categorie,MATCH($A236,emprunts!$A$2:$A$149,0)))</f>
        <v>Struct</v>
      </c>
      <c r="H236">
        <v>2005</v>
      </c>
      <c r="I236">
        <f t="shared" si="14"/>
        <v>1</v>
      </c>
      <c r="N236" s="14"/>
      <c r="O236" s="14">
        <v>0</v>
      </c>
      <c r="P236" s="4">
        <v>4.8300000000000003E-2</v>
      </c>
      <c r="Q236" s="14">
        <v>775758.23</v>
      </c>
      <c r="R236" s="14">
        <v>300000</v>
      </c>
      <c r="S236" s="14"/>
      <c r="T236" s="14">
        <v>0</v>
      </c>
      <c r="U236" s="14">
        <f t="shared" si="21"/>
        <v>1075758.23</v>
      </c>
      <c r="V236" s="14">
        <f t="shared" si="19"/>
        <v>0</v>
      </c>
      <c r="X236" s="85">
        <f t="shared" si="15"/>
        <v>12676000</v>
      </c>
      <c r="Y236" s="21">
        <f t="shared" si="16"/>
        <v>4.9431898496062464E-2</v>
      </c>
      <c r="AA236" s="55">
        <f t="shared" si="17"/>
        <v>314401.23</v>
      </c>
      <c r="AB236" s="55">
        <f t="shared" si="18"/>
        <v>-173</v>
      </c>
      <c r="AC236" s="55">
        <f t="shared" si="20"/>
        <v>6360290.4109589048</v>
      </c>
    </row>
    <row r="237" spans="1:29">
      <c r="A237" t="s">
        <v>98</v>
      </c>
      <c r="B237" s="16" t="str">
        <f>INDEX(emprunts!C:C,MATCH($A237,emprunts!A:A,0))</f>
        <v>Dexia CL</v>
      </c>
      <c r="C237" s="18">
        <f>INDEX(emprunts!M:M,MATCH($A237,emprunts!$A:$A,0))</f>
        <v>38092</v>
      </c>
      <c r="D237" s="18">
        <f>IF(INDEX(emprunts!O:O,MATCH($A237,emprunts!$A:$A,0))="",INDEX(emprunts!N:N,MATCH($A237,emprunts!$A:$A,0)),MIN(INDEX(emprunts!N:N,MATCH($A237,emprunts!$A:$A,0)),INDEX(emprunts!O:O,MATCH($A237,emprunts!$A:$A,0))))</f>
        <v>38443</v>
      </c>
      <c r="E237" s="52">
        <f>INDEX(emprunts!I:I,MATCH($A237,emprunts!$A:$A,0))</f>
        <v>15</v>
      </c>
      <c r="F237" s="18" t="str">
        <f>INDEX(emprunts!P:P,MATCH($A237,emprunts!$A:$A,0))</f>
        <v>Variable hors zone EUR</v>
      </c>
      <c r="G237" s="126" t="str">
        <f>IF(LEFT(A237,3)="vx_","vx",INDEX(Categorie,MATCH($A237,emprunts!$A$2:$A$149,0)))</f>
        <v>Struct</v>
      </c>
      <c r="H237">
        <v>2005</v>
      </c>
      <c r="I237">
        <f t="shared" si="14"/>
        <v>1</v>
      </c>
      <c r="L237" s="5">
        <v>37991</v>
      </c>
      <c r="M237" s="5">
        <v>38260</v>
      </c>
      <c r="N237" s="14"/>
      <c r="O237" s="14">
        <v>0</v>
      </c>
      <c r="P237" s="4">
        <v>2.1399999999999999E-2</v>
      </c>
      <c r="Q237" s="14">
        <v>35188.15</v>
      </c>
      <c r="R237" s="14">
        <v>0</v>
      </c>
      <c r="S237" s="14"/>
      <c r="T237" s="14">
        <v>0</v>
      </c>
      <c r="U237" s="14">
        <v>35188.15</v>
      </c>
      <c r="V237" s="14">
        <f t="shared" si="19"/>
        <v>0</v>
      </c>
      <c r="X237" s="85">
        <f t="shared" si="15"/>
        <v>3470494</v>
      </c>
      <c r="Y237" s="21">
        <f t="shared" si="16"/>
        <v>3.710949011229462E-2</v>
      </c>
      <c r="AA237" s="55">
        <f t="shared" si="17"/>
        <v>31756.010000000002</v>
      </c>
      <c r="AB237" s="55">
        <f t="shared" si="18"/>
        <v>0</v>
      </c>
      <c r="AC237" s="55">
        <f t="shared" si="20"/>
        <v>855738.24657534237</v>
      </c>
    </row>
    <row r="238" spans="1:29">
      <c r="A238" t="s">
        <v>101</v>
      </c>
      <c r="B238" s="16" t="str">
        <f>INDEX(emprunts!C:C,MATCH($A238,emprunts!A:A,0))</f>
        <v>Dexia CL</v>
      </c>
      <c r="C238" s="18">
        <f>INDEX(emprunts!M:M,MATCH($A238,emprunts!$A:$A,0))</f>
        <v>38106</v>
      </c>
      <c r="D238" s="18">
        <f>IF(INDEX(emprunts!O:O,MATCH($A238,emprunts!$A:$A,0))="",INDEX(emprunts!N:N,MATCH($A238,emprunts!$A:$A,0)),MIN(INDEX(emprunts!N:N,MATCH($A238,emprunts!$A:$A,0)),INDEX(emprunts!O:O,MATCH($A238,emprunts!$A:$A,0))))</f>
        <v>39203</v>
      </c>
      <c r="E238" s="52">
        <f>INDEX(emprunts!I:I,MATCH($A238,emprunts!$A:$A,0))</f>
        <v>21</v>
      </c>
      <c r="F238" s="18" t="str">
        <f>INDEX(emprunts!P:P,MATCH($A238,emprunts!$A:$A,0))</f>
        <v>Barrière</v>
      </c>
      <c r="G238" s="126" t="str">
        <f>IF(LEFT(A238,3)="vx_","vx",INDEX(Categorie,MATCH($A238,emprunts!$A$2:$A$149,0)))</f>
        <v>Struct</v>
      </c>
      <c r="H238">
        <v>2005</v>
      </c>
      <c r="I238">
        <f t="shared" si="14"/>
        <v>1</v>
      </c>
      <c r="N238" s="14">
        <v>8000000</v>
      </c>
      <c r="O238" s="14">
        <v>7758059</v>
      </c>
      <c r="P238" s="4">
        <v>4.0399999999999998E-2</v>
      </c>
      <c r="Q238" s="14">
        <v>327688.89</v>
      </c>
      <c r="R238" s="14">
        <v>241940.7</v>
      </c>
      <c r="S238" s="14"/>
      <c r="T238" s="14">
        <v>212432.9</v>
      </c>
      <c r="U238" s="14">
        <f>SUM(Q238:S238)</f>
        <v>569629.59000000008</v>
      </c>
      <c r="V238" s="14">
        <f t="shared" si="19"/>
        <v>0</v>
      </c>
      <c r="X238" s="85">
        <f t="shared" si="15"/>
        <v>0</v>
      </c>
      <c r="Y238" s="21">
        <f t="shared" si="16"/>
        <v>4.0861131451873131E-2</v>
      </c>
      <c r="AA238" s="55">
        <f t="shared" si="17"/>
        <v>321064.01</v>
      </c>
      <c r="AB238" s="55">
        <f t="shared" si="18"/>
        <v>-0.29999999981373549</v>
      </c>
      <c r="AC238" s="55">
        <f t="shared" si="20"/>
        <v>7857442.9682191778</v>
      </c>
    </row>
    <row r="239" spans="1:29">
      <c r="A239" t="s">
        <v>105</v>
      </c>
      <c r="B239" s="16" t="str">
        <f>INDEX(emprunts!C:C,MATCH($A239,emprunts!A:A,0))</f>
        <v>Dexia CL</v>
      </c>
      <c r="C239" s="18">
        <f>INDEX(emprunts!M:M,MATCH($A239,emprunts!$A:$A,0))</f>
        <v>38153</v>
      </c>
      <c r="D239" s="18">
        <f>IF(INDEX(emprunts!O:O,MATCH($A239,emprunts!$A:$A,0))="",INDEX(emprunts!N:N,MATCH($A239,emprunts!$A:$A,0)),MIN(INDEX(emprunts!N:N,MATCH($A239,emprunts!$A:$A,0)),INDEX(emprunts!O:O,MATCH($A239,emprunts!$A:$A,0))))</f>
        <v>38384</v>
      </c>
      <c r="E239" s="52">
        <f>INDEX(emprunts!I:I,MATCH($A239,emprunts!$A:$A,0))</f>
        <v>10</v>
      </c>
      <c r="F239" s="18" t="str">
        <f>INDEX(emprunts!P:P,MATCH($A239,emprunts!$A:$A,0))</f>
        <v>Change</v>
      </c>
      <c r="G239" s="126" t="str">
        <f>IF(LEFT(A239,3)="vx_","vx",INDEX(Categorie,MATCH($A239,emprunts!$A$2:$A$149,0)))</f>
        <v>Struct</v>
      </c>
      <c r="H239">
        <v>2005</v>
      </c>
      <c r="I239">
        <f t="shared" si="14"/>
        <v>1</v>
      </c>
      <c r="N239" s="14">
        <v>9527784.7300000004</v>
      </c>
      <c r="O239" s="14">
        <v>0</v>
      </c>
      <c r="P239" s="4">
        <v>4.9000000000000002E-2</v>
      </c>
      <c r="Q239" s="14">
        <v>389407.05</v>
      </c>
      <c r="R239" s="14">
        <v>0</v>
      </c>
      <c r="S239" s="14"/>
      <c r="T239" s="14">
        <v>0</v>
      </c>
      <c r="U239" s="14">
        <f>SUM(Q239:S239)</f>
        <v>389407.05</v>
      </c>
      <c r="V239" s="14">
        <f t="shared" si="19"/>
        <v>0</v>
      </c>
      <c r="X239" s="85">
        <f t="shared" si="15"/>
        <v>9528000</v>
      </c>
      <c r="Y239" s="21">
        <f t="shared" si="16"/>
        <v>0.32895799240269769</v>
      </c>
      <c r="AA239" s="55">
        <f t="shared" si="17"/>
        <v>266201.82</v>
      </c>
      <c r="AB239" s="55">
        <f t="shared" si="18"/>
        <v>215</v>
      </c>
      <c r="AC239" s="55">
        <f t="shared" si="20"/>
        <v>809227.39726027392</v>
      </c>
    </row>
    <row r="240" spans="1:29">
      <c r="A240" t="s">
        <v>108</v>
      </c>
      <c r="B240" s="16" t="str">
        <f>INDEX(emprunts!C:C,MATCH($A240,emprunts!A:A,0))</f>
        <v>Dexia CL</v>
      </c>
      <c r="C240" s="18">
        <f>INDEX(emprunts!M:M,MATCH($A240,emprunts!$A:$A,0))</f>
        <v>38193</v>
      </c>
      <c r="D240" s="18">
        <f>IF(INDEX(emprunts!O:O,MATCH($A240,emprunts!$A:$A,0))="",INDEX(emprunts!N:N,MATCH($A240,emprunts!$A:$A,0)),MIN(INDEX(emprunts!N:N,MATCH($A240,emprunts!$A:$A,0)),INDEX(emprunts!O:O,MATCH($A240,emprunts!$A:$A,0))))</f>
        <v>38777</v>
      </c>
      <c r="E240" s="52">
        <f>INDEX(emprunts!I:I,MATCH($A240,emprunts!$A:$A,0))</f>
        <v>18</v>
      </c>
      <c r="F240" s="18" t="str">
        <f>INDEX(emprunts!P:P,MATCH($A240,emprunts!$A:$A,0))</f>
        <v>Pente</v>
      </c>
      <c r="G240" s="126" t="str">
        <f>IF(LEFT(A240,3)="vx_","vx",INDEX(Categorie,MATCH($A240,emprunts!$A$2:$A$149,0)))</f>
        <v>Struct</v>
      </c>
      <c r="H240">
        <v>2005</v>
      </c>
      <c r="I240">
        <f t="shared" si="14"/>
        <v>1</v>
      </c>
      <c r="L240" s="5">
        <v>38355</v>
      </c>
      <c r="M240" s="5">
        <v>38355</v>
      </c>
      <c r="N240" s="14">
        <v>10829875.76</v>
      </c>
      <c r="O240" s="14">
        <v>9781580</v>
      </c>
      <c r="P240" s="4">
        <v>3.44E-2</v>
      </c>
      <c r="Q240" s="14">
        <v>156139.73000000001</v>
      </c>
      <c r="R240" s="14">
        <v>1048295.54</v>
      </c>
      <c r="S240" s="14"/>
      <c r="T240" s="14">
        <v>299113.7</v>
      </c>
      <c r="U240" s="14">
        <v>1204435.27</v>
      </c>
      <c r="V240" s="14">
        <f t="shared" si="19"/>
        <v>0</v>
      </c>
      <c r="X240" s="85">
        <f t="shared" si="15"/>
        <v>0</v>
      </c>
      <c r="Y240" s="21">
        <f t="shared" si="16"/>
        <v>3.1891458666852723E-2</v>
      </c>
      <c r="AA240" s="55">
        <f t="shared" si="17"/>
        <v>327764.24000000005</v>
      </c>
      <c r="AB240" s="55">
        <f t="shared" si="18"/>
        <v>-0.46000000089406967</v>
      </c>
      <c r="AC240" s="55">
        <f t="shared" si="20"/>
        <v>10277492.89939726</v>
      </c>
    </row>
    <row r="241" spans="1:29">
      <c r="A241" t="s">
        <v>114</v>
      </c>
      <c r="B241" s="16" t="str">
        <f>INDEX(emprunts!C:C,MATCH($A241,emprunts!A:A,0))</f>
        <v>Dexia CL</v>
      </c>
      <c r="C241" s="18">
        <f>INDEX(emprunts!M:M,MATCH($A241,emprunts!$A:$A,0))</f>
        <v>38384</v>
      </c>
      <c r="D241" s="18">
        <f>IF(INDEX(emprunts!O:O,MATCH($A241,emprunts!$A:$A,0))="",INDEX(emprunts!N:N,MATCH($A241,emprunts!$A:$A,0)),MIN(INDEX(emprunts!N:N,MATCH($A241,emprunts!$A:$A,0)),INDEX(emprunts!O:O,MATCH($A241,emprunts!$A:$A,0))))</f>
        <v>39263</v>
      </c>
      <c r="E241" s="52">
        <f>INDEX(emprunts!I:I,MATCH($A241,emprunts!$A:$A,0))</f>
        <v>15</v>
      </c>
      <c r="F241" s="18" t="str">
        <f>INDEX(emprunts!P:P,MATCH($A241,emprunts!$A:$A,0))</f>
        <v>Change</v>
      </c>
      <c r="G241" s="126" t="str">
        <f>IF(LEFT(A241,3)="vx_","vx",INDEX(Categorie,MATCH($A241,emprunts!$A$2:$A$149,0)))</f>
        <v>Struct</v>
      </c>
      <c r="H241">
        <v>2005</v>
      </c>
      <c r="I241">
        <f t="shared" si="14"/>
        <v>1</v>
      </c>
      <c r="N241" s="14">
        <v>11000000</v>
      </c>
      <c r="O241" s="14">
        <v>11000000</v>
      </c>
      <c r="P241" s="4">
        <v>2.3400000000000001E-2</v>
      </c>
      <c r="Q241" s="14">
        <v>0</v>
      </c>
      <c r="R241" s="14">
        <v>0</v>
      </c>
      <c r="S241" s="14"/>
      <c r="T241" s="14">
        <v>255098.61</v>
      </c>
      <c r="U241" s="14">
        <v>0</v>
      </c>
      <c r="V241" s="14">
        <f t="shared" si="19"/>
        <v>0</v>
      </c>
      <c r="X241" s="85">
        <f t="shared" si="15"/>
        <v>0</v>
      </c>
      <c r="Y241" s="21">
        <f t="shared" si="16"/>
        <v>2.5419326412776409E-2</v>
      </c>
      <c r="AA241" s="55">
        <f t="shared" si="17"/>
        <v>255098.61</v>
      </c>
      <c r="AB241" s="55" t="str">
        <f t="shared" si="18"/>
        <v/>
      </c>
      <c r="AC241" s="55">
        <f t="shared" si="20"/>
        <v>10035616.438356165</v>
      </c>
    </row>
    <row r="242" spans="1:29">
      <c r="A242" t="s">
        <v>117</v>
      </c>
      <c r="B242" s="16" t="str">
        <f>INDEX(emprunts!C:C,MATCH($A242,emprunts!A:A,0))</f>
        <v>Dexia CL</v>
      </c>
      <c r="C242" s="18">
        <f>INDEX(emprunts!M:M,MATCH($A242,emprunts!$A:$A,0))</f>
        <v>38406</v>
      </c>
      <c r="D242" s="18">
        <f>IF(INDEX(emprunts!O:O,MATCH($A242,emprunts!$A:$A,0))="",INDEX(emprunts!N:N,MATCH($A242,emprunts!$A:$A,0)),MIN(INDEX(emprunts!N:N,MATCH($A242,emprunts!$A:$A,0)),INDEX(emprunts!O:O,MATCH($A242,emprunts!$A:$A,0))))</f>
        <v>39114</v>
      </c>
      <c r="E242" s="52">
        <f>INDEX(emprunts!I:I,MATCH($A242,emprunts!$A:$A,0))</f>
        <v>17</v>
      </c>
      <c r="F242" s="18" t="str">
        <f>INDEX(emprunts!P:P,MATCH($A242,emprunts!$A:$A,0))</f>
        <v>Barrière avec multiplicateur</v>
      </c>
      <c r="G242" s="126" t="str">
        <f>IF(LEFT(A242,3)="vx_","vx",INDEX(Categorie,MATCH($A242,emprunts!$A$2:$A$149,0)))</f>
        <v>Struct</v>
      </c>
      <c r="H242">
        <v>2005</v>
      </c>
      <c r="I242">
        <f t="shared" si="14"/>
        <v>1</v>
      </c>
      <c r="N242" s="14">
        <v>10833098</v>
      </c>
      <c r="O242" s="14">
        <v>10833098</v>
      </c>
      <c r="P242" s="4"/>
      <c r="Q242" s="14">
        <v>70554.880000000005</v>
      </c>
      <c r="R242" s="14">
        <v>0</v>
      </c>
      <c r="S242" s="14"/>
      <c r="T242" s="14">
        <v>9027.58</v>
      </c>
      <c r="U242" s="14">
        <v>70554.880000000005</v>
      </c>
      <c r="V242" s="14">
        <f t="shared" si="19"/>
        <v>0</v>
      </c>
      <c r="X242" s="85">
        <f t="shared" si="15"/>
        <v>0</v>
      </c>
      <c r="Y242" s="21">
        <f t="shared" si="16"/>
        <v>8.6217844917866656E-3</v>
      </c>
      <c r="Z242" t="s">
        <v>574</v>
      </c>
      <c r="AA242" s="55">
        <f t="shared" si="17"/>
        <v>79582.460000000006</v>
      </c>
      <c r="AB242" s="55" t="str">
        <f t="shared" si="18"/>
        <v/>
      </c>
      <c r="AC242" s="55">
        <f t="shared" si="20"/>
        <v>9230393.090410959</v>
      </c>
    </row>
    <row r="243" spans="1:29">
      <c r="A243" t="s">
        <v>121</v>
      </c>
      <c r="B243" s="16" t="str">
        <f>INDEX(emprunts!C:C,MATCH($A243,emprunts!A:A,0))</f>
        <v>Dexia CL</v>
      </c>
      <c r="C243" s="18">
        <f>INDEX(emprunts!M:M,MATCH($A243,emprunts!$A:$A,0))</f>
        <v>38406</v>
      </c>
      <c r="D243" s="18">
        <f>IF(INDEX(emprunts!O:O,MATCH($A243,emprunts!$A:$A,0))="",INDEX(emprunts!N:N,MATCH($A243,emprunts!$A:$A,0)),MIN(INDEX(emprunts!N:N,MATCH($A243,emprunts!$A:$A,0)),INDEX(emprunts!O:O,MATCH($A243,emprunts!$A:$A,0))))</f>
        <v>39203</v>
      </c>
      <c r="E243" s="52">
        <f>INDEX(emprunts!I:I,MATCH($A243,emprunts!$A:$A,0))</f>
        <v>15</v>
      </c>
      <c r="F243" s="18" t="str">
        <f>INDEX(emprunts!P:P,MATCH($A243,emprunts!$A:$A,0))</f>
        <v>Variable hors zone EUR</v>
      </c>
      <c r="G243" s="126" t="str">
        <f>IF(LEFT(A243,3)="vx_","vx",INDEX(Categorie,MATCH($A243,emprunts!$A$2:$A$149,0)))</f>
        <v>Struct</v>
      </c>
      <c r="H243">
        <v>2005</v>
      </c>
      <c r="I243">
        <f t="shared" si="14"/>
        <v>1</v>
      </c>
      <c r="N243"/>
      <c r="O243" s="14"/>
      <c r="Q243" s="14"/>
      <c r="R243" s="14"/>
      <c r="S243" s="14"/>
      <c r="T243" s="14"/>
      <c r="U243" s="14"/>
      <c r="V243" s="14" t="str">
        <f t="shared" si="19"/>
        <v/>
      </c>
      <c r="X243" s="85">
        <f t="shared" si="15"/>
        <v>0</v>
      </c>
      <c r="Y243" s="21" t="str">
        <f t="shared" si="16"/>
        <v/>
      </c>
      <c r="AA243" s="55">
        <f t="shared" si="17"/>
        <v>0</v>
      </c>
      <c r="AB243" s="55" t="str">
        <f t="shared" si="18"/>
        <v/>
      </c>
      <c r="AC243" s="55">
        <f t="shared" si="20"/>
        <v>0</v>
      </c>
    </row>
    <row r="244" spans="1:29">
      <c r="A244" t="s">
        <v>123</v>
      </c>
      <c r="B244" s="16" t="str">
        <f>INDEX(emprunts!C:C,MATCH($A244,emprunts!A:A,0))</f>
        <v>Crédit Mutuel</v>
      </c>
      <c r="C244" s="18">
        <f>INDEX(emprunts!M:M,MATCH($A244,emprunts!$A:$A,0))</f>
        <v>38435</v>
      </c>
      <c r="D244" s="18">
        <f>IF(INDEX(emprunts!O:O,MATCH($A244,emprunts!$A:$A,0))="",INDEX(emprunts!N:N,MATCH($A244,emprunts!$A:$A,0)),MIN(INDEX(emprunts!N:N,MATCH($A244,emprunts!$A:$A,0)),INDEX(emprunts!O:O,MATCH($A244,emprunts!$A:$A,0))))</f>
        <v>40260</v>
      </c>
      <c r="E244" s="52">
        <f>INDEX(emprunts!I:I,MATCH($A244,emprunts!$A:$A,0))</f>
        <v>5</v>
      </c>
      <c r="F244" s="18" t="str">
        <f>INDEX(emprunts!P:P,MATCH($A244,emprunts!$A:$A,0))</f>
        <v>Fixe</v>
      </c>
      <c r="G244" s="126" t="str">
        <f>IF(LEFT(A244,3)="vx_","vx",INDEX(Categorie,MATCH($A244,emprunts!$A$2:$A$149,0)))</f>
        <v>Non_st</v>
      </c>
      <c r="H244">
        <v>2005</v>
      </c>
      <c r="I244">
        <f t="shared" si="14"/>
        <v>1</v>
      </c>
      <c r="L244" s="5">
        <v>38776</v>
      </c>
      <c r="M244" s="5">
        <v>38776</v>
      </c>
      <c r="N244" s="14">
        <v>1808556</v>
      </c>
      <c r="O244" s="14">
        <v>1808556</v>
      </c>
      <c r="P244" s="4">
        <v>2.9700000000000001E-2</v>
      </c>
      <c r="Q244" s="14">
        <v>0</v>
      </c>
      <c r="R244" s="14">
        <v>0</v>
      </c>
      <c r="S244" s="14"/>
      <c r="T244" s="14">
        <v>41692.400000000001</v>
      </c>
      <c r="U244" s="14">
        <v>0</v>
      </c>
      <c r="V244" s="14">
        <f t="shared" si="19"/>
        <v>0</v>
      </c>
      <c r="X244" s="85">
        <f t="shared" si="15"/>
        <v>0</v>
      </c>
      <c r="Y244" s="21">
        <f t="shared" si="16"/>
        <v>2.9837930025880605E-2</v>
      </c>
      <c r="AA244" s="55">
        <f t="shared" si="17"/>
        <v>41692.400000000001</v>
      </c>
      <c r="AB244" s="55" t="str">
        <f t="shared" si="18"/>
        <v/>
      </c>
      <c r="AC244" s="55">
        <f t="shared" si="20"/>
        <v>1397295.3205479453</v>
      </c>
    </row>
    <row r="245" spans="1:29">
      <c r="A245" t="s">
        <v>125</v>
      </c>
      <c r="B245" s="16" t="str">
        <f>INDEX(emprunts!C:C,MATCH($A245,emprunts!A:A,0))</f>
        <v>Dexia CL</v>
      </c>
      <c r="C245" s="18">
        <f>INDEX(emprunts!M:M,MATCH($A245,emprunts!$A:$A,0))</f>
        <v>38443</v>
      </c>
      <c r="D245" s="18">
        <f>IF(INDEX(emprunts!O:O,MATCH($A245,emprunts!$A:$A,0))="",INDEX(emprunts!N:N,MATCH($A245,emprunts!$A:$A,0)),MIN(INDEX(emprunts!N:N,MATCH($A245,emprunts!$A:$A,0)),INDEX(emprunts!O:O,MATCH($A245,emprunts!$A:$A,0))))</f>
        <v>38899</v>
      </c>
      <c r="E245" s="52">
        <f>INDEX(emprunts!I:I,MATCH($A245,emprunts!$A:$A,0))</f>
        <v>19</v>
      </c>
      <c r="F245" s="18" t="str">
        <f>INDEX(emprunts!P:P,MATCH($A245,emprunts!$A:$A,0))</f>
        <v>Change</v>
      </c>
      <c r="G245" s="126" t="str">
        <f>IF(LEFT(A245,3)="vx_","vx",INDEX(Categorie,MATCH($A245,emprunts!$A$2:$A$149,0)))</f>
        <v>Struct</v>
      </c>
      <c r="H245">
        <v>2005</v>
      </c>
      <c r="I245">
        <f t="shared" si="14"/>
        <v>1</v>
      </c>
      <c r="N245" s="14">
        <v>14472155</v>
      </c>
      <c r="O245" s="14">
        <v>14472155</v>
      </c>
      <c r="P245" s="4">
        <v>1.77E-2</v>
      </c>
      <c r="Q245" s="14">
        <v>0</v>
      </c>
      <c r="R245" s="14">
        <v>0</v>
      </c>
      <c r="S245" s="14"/>
      <c r="T245" s="14">
        <v>214662.61</v>
      </c>
      <c r="U245" s="14">
        <v>0</v>
      </c>
      <c r="V245" s="14">
        <f t="shared" si="19"/>
        <v>0</v>
      </c>
      <c r="X245" s="85">
        <f t="shared" si="15"/>
        <v>0</v>
      </c>
      <c r="Y245" s="21">
        <f t="shared" si="16"/>
        <v>1.97590245962567E-2</v>
      </c>
      <c r="AA245" s="55">
        <f t="shared" si="17"/>
        <v>214662.61</v>
      </c>
      <c r="AB245" s="55" t="str">
        <f t="shared" si="18"/>
        <v/>
      </c>
      <c r="AC245" s="55">
        <f t="shared" si="20"/>
        <v>10864028.684931507</v>
      </c>
    </row>
    <row r="246" spans="1:29">
      <c r="A246" t="s">
        <v>180</v>
      </c>
      <c r="B246" s="16" t="str">
        <f>INDEX(emprunts!C:C,MATCH($A246,emprunts!A:A,0))</f>
        <v>Dexia CL</v>
      </c>
      <c r="C246" s="18">
        <f>INDEX(emprunts!M:M,MATCH($A246,emprunts!$A:$A,0))</f>
        <v>38443</v>
      </c>
      <c r="D246" s="18">
        <f>IF(INDEX(emprunts!O:O,MATCH($A246,emprunts!$A:$A,0))="",INDEX(emprunts!N:N,MATCH($A246,emprunts!$A:$A,0)),MIN(INDEX(emprunts!N:N,MATCH($A246,emprunts!$A:$A,0)),INDEX(emprunts!O:O,MATCH($A246,emprunts!$A:$A,0))))</f>
        <v>39203</v>
      </c>
      <c r="E246" s="52">
        <f>INDEX(emprunts!I:I,MATCH($A246,emprunts!$A:$A,0))</f>
        <v>15</v>
      </c>
      <c r="F246" s="18" t="str">
        <f>INDEX(emprunts!P:P,MATCH($A246,emprunts!$A:$A,0))</f>
        <v>Change</v>
      </c>
      <c r="G246" s="126" t="str">
        <f>IF(LEFT(A246,3)="vx_","vx",INDEX(Categorie,MATCH($A246,emprunts!$A$2:$A$149,0)))</f>
        <v>Struct</v>
      </c>
      <c r="H246">
        <v>2005</v>
      </c>
      <c r="I246">
        <f t="shared" si="14"/>
        <v>1</v>
      </c>
      <c r="N246" s="14">
        <v>6992442</v>
      </c>
      <c r="O246" s="14">
        <v>6992442</v>
      </c>
      <c r="P246" s="4">
        <v>2.3800000000000002E-2</v>
      </c>
      <c r="Q246" s="14">
        <v>0</v>
      </c>
      <c r="R246" s="14">
        <v>0</v>
      </c>
      <c r="S246" s="14"/>
      <c r="T246" s="14">
        <v>122823.87</v>
      </c>
      <c r="U246" s="14">
        <v>0</v>
      </c>
      <c r="V246" s="14">
        <f t="shared" si="19"/>
        <v>0</v>
      </c>
      <c r="X246" s="85">
        <f t="shared" si="15"/>
        <v>0</v>
      </c>
      <c r="Y246" s="21">
        <f t="shared" si="16"/>
        <v>2.3398941204457131E-2</v>
      </c>
      <c r="AA246" s="55">
        <f t="shared" si="17"/>
        <v>122823.87</v>
      </c>
      <c r="AB246" s="55" t="str">
        <f t="shared" si="18"/>
        <v/>
      </c>
      <c r="AC246" s="55">
        <f t="shared" si="20"/>
        <v>5249120.8438356165</v>
      </c>
    </row>
    <row r="247" spans="1:29">
      <c r="A247" t="s">
        <v>183</v>
      </c>
      <c r="B247" s="16" t="str">
        <f>INDEX(emprunts!C:C,MATCH($A247,emprunts!A:A,0))</f>
        <v>CDC</v>
      </c>
      <c r="C247" s="18">
        <f>INDEX(emprunts!M:M,MATCH($A247,emprunts!$A:$A,0))</f>
        <v>38473</v>
      </c>
      <c r="D247" s="18">
        <f>IF(INDEX(emprunts!O:O,MATCH($A247,emprunts!$A:$A,0))="",INDEX(emprunts!N:N,MATCH($A247,emprunts!$A:$A,0)),MIN(INDEX(emprunts!N:N,MATCH($A247,emprunts!$A:$A,0)),INDEX(emprunts!O:O,MATCH($A247,emprunts!$A:$A,0))))</f>
        <v>40663</v>
      </c>
      <c r="E247" s="52">
        <f>INDEX(emprunts!I:I,MATCH($A247,emprunts!$A:$A,0))</f>
        <v>6</v>
      </c>
      <c r="F247" s="18" t="str">
        <f>INDEX(emprunts!P:P,MATCH($A247,emprunts!$A:$A,0))</f>
        <v>Variable</v>
      </c>
      <c r="G247" s="126" t="str">
        <f>IF(LEFT(A247,3)="vx_","vx",INDEX(Categorie,MATCH($A247,emprunts!$A$2:$A$149,0)))</f>
        <v>Non_st</v>
      </c>
      <c r="H247">
        <v>2005</v>
      </c>
      <c r="I247">
        <f t="shared" si="14"/>
        <v>1</v>
      </c>
      <c r="N247"/>
      <c r="O247" s="14">
        <v>2503519</v>
      </c>
      <c r="P247" s="4">
        <v>2.3400000000000001E-2</v>
      </c>
      <c r="Q247" s="14">
        <v>0</v>
      </c>
      <c r="R247" s="14">
        <v>0</v>
      </c>
      <c r="S247" s="14"/>
      <c r="T247" s="14">
        <v>34397.839999999997</v>
      </c>
      <c r="U247" s="14">
        <v>0</v>
      </c>
      <c r="V247" s="14">
        <f t="shared" si="19"/>
        <v>0</v>
      </c>
      <c r="X247" s="85">
        <f t="shared" si="15"/>
        <v>0</v>
      </c>
      <c r="Y247" s="21">
        <f t="shared" si="16"/>
        <v>2.0553383156229944E-2</v>
      </c>
      <c r="AA247" s="55">
        <f t="shared" si="17"/>
        <v>34397.839999999997</v>
      </c>
      <c r="AB247" s="55" t="str">
        <f t="shared" si="18"/>
        <v/>
      </c>
      <c r="AC247" s="55">
        <f t="shared" si="20"/>
        <v>1673585.3041095892</v>
      </c>
    </row>
    <row r="248" spans="1:29">
      <c r="A248" t="s">
        <v>185</v>
      </c>
      <c r="B248" s="16" t="str">
        <f>INDEX(emprunts!C:C,MATCH($A248,emprunts!A:A,0))</f>
        <v>CDC</v>
      </c>
      <c r="C248" s="18">
        <f>INDEX(emprunts!M:M,MATCH($A248,emprunts!$A:$A,0))</f>
        <v>38473</v>
      </c>
      <c r="D248" s="18">
        <f>IF(INDEX(emprunts!O:O,MATCH($A248,emprunts!$A:$A,0))="",INDEX(emprunts!N:N,MATCH($A248,emprunts!$A:$A,0)),MIN(INDEX(emprunts!N:N,MATCH($A248,emprunts!$A:$A,0)),INDEX(emprunts!O:O,MATCH($A248,emprunts!$A:$A,0))))</f>
        <v>41393</v>
      </c>
      <c r="E248" s="52">
        <f>INDEX(emprunts!I:I,MATCH($A248,emprunts!$A:$A,0))</f>
        <v>8</v>
      </c>
      <c r="F248" s="18" t="str">
        <f>INDEX(emprunts!P:P,MATCH($A248,emprunts!$A:$A,0))</f>
        <v>Variable</v>
      </c>
      <c r="G248" s="126" t="str">
        <f>IF(LEFT(A248,3)="vx_","vx",INDEX(Categorie,MATCH($A248,emprunts!$A$2:$A$149,0)))</f>
        <v>Non_st</v>
      </c>
      <c r="H248">
        <v>2005</v>
      </c>
      <c r="I248">
        <f t="shared" si="14"/>
        <v>1</v>
      </c>
      <c r="N248"/>
      <c r="O248" s="14">
        <v>3425073</v>
      </c>
      <c r="P248" s="4">
        <v>2.3400000000000001E-2</v>
      </c>
      <c r="Q248" s="14">
        <v>0</v>
      </c>
      <c r="R248" s="14">
        <v>0</v>
      </c>
      <c r="S248" s="14"/>
      <c r="T248" s="14">
        <v>47059.81</v>
      </c>
      <c r="U248" s="14">
        <v>0</v>
      </c>
      <c r="V248" s="14">
        <f t="shared" si="19"/>
        <v>0</v>
      </c>
      <c r="X248" s="85">
        <f t="shared" si="15"/>
        <v>0</v>
      </c>
      <c r="Y248" s="21">
        <f t="shared" si="16"/>
        <v>2.0553385847901492E-2</v>
      </c>
      <c r="AA248" s="55">
        <f t="shared" si="17"/>
        <v>47059.81</v>
      </c>
      <c r="AB248" s="55" t="str">
        <f t="shared" si="18"/>
        <v/>
      </c>
      <c r="AC248" s="55">
        <f t="shared" si="20"/>
        <v>2289637.8410958904</v>
      </c>
    </row>
    <row r="249" spans="1:29">
      <c r="A249" t="s">
        <v>186</v>
      </c>
      <c r="B249" s="16" t="str">
        <f>INDEX(emprunts!C:C,MATCH($A249,emprunts!A:A,0))</f>
        <v>Dexia CL</v>
      </c>
      <c r="C249" s="18">
        <f>INDEX(emprunts!M:M,MATCH($A249,emprunts!$A:$A,0))</f>
        <v>38504</v>
      </c>
      <c r="D249" s="18">
        <f>IF(INDEX(emprunts!O:O,MATCH($A249,emprunts!$A:$A,0))="",INDEX(emprunts!N:N,MATCH($A249,emprunts!$A:$A,0)),MIN(INDEX(emprunts!N:N,MATCH($A249,emprunts!$A:$A,0)),INDEX(emprunts!O:O,MATCH($A249,emprunts!$A:$A,0))))</f>
        <v>38805</v>
      </c>
      <c r="E249" s="52">
        <f>INDEX(emprunts!I:I,MATCH($A249,emprunts!$A:$A,0))</f>
        <v>17.25</v>
      </c>
      <c r="F249" s="18" t="str">
        <f>INDEX(emprunts!P:P,MATCH($A249,emprunts!$A:$A,0))</f>
        <v>Change</v>
      </c>
      <c r="G249" s="126" t="str">
        <f>IF(LEFT(A249,3)="vx_","vx",INDEX(Categorie,MATCH($A249,emprunts!$A$2:$A$149,0)))</f>
        <v>Struct</v>
      </c>
      <c r="H249">
        <v>2005</v>
      </c>
      <c r="I249">
        <f t="shared" ref="I249:I302" si="22">1*(C249&lt;DATE(H249,12,31))</f>
        <v>1</v>
      </c>
      <c r="N249"/>
      <c r="O249" s="14">
        <v>9247427</v>
      </c>
      <c r="P249" s="4">
        <v>2.4799999999999999E-2</v>
      </c>
      <c r="Q249" s="14">
        <v>94678.48</v>
      </c>
      <c r="R249" s="14">
        <v>0</v>
      </c>
      <c r="S249" s="14"/>
      <c r="T249" s="14">
        <v>16943.32</v>
      </c>
      <c r="U249" s="14">
        <f>SUM(Q249:S249)</f>
        <v>94678.48</v>
      </c>
      <c r="V249" s="14">
        <f t="shared" si="19"/>
        <v>0</v>
      </c>
      <c r="X249" s="85">
        <f t="shared" ref="X249:X302" si="23">SUMPRODUCT((De=$A249)*(année_refi=$H249),Montant_transfere)</f>
        <v>0</v>
      </c>
      <c r="Y249" s="21">
        <f t="shared" ref="Y249:Y302" si="24">IF(AND(AA249&gt;0,YEAR(C249)&lt;=H249),AA249/AC249,"")</f>
        <v>2.0684325859207112E-2</v>
      </c>
      <c r="AA249" s="55">
        <f t="shared" si="17"/>
        <v>111621.79999999999</v>
      </c>
      <c r="AB249" s="55" t="str">
        <f t="shared" si="18"/>
        <v/>
      </c>
      <c r="AC249" s="55">
        <f t="shared" si="20"/>
        <v>5396443.701369863</v>
      </c>
    </row>
    <row r="250" spans="1:29">
      <c r="A250" t="s">
        <v>187</v>
      </c>
      <c r="B250" s="16" t="str">
        <f>INDEX(emprunts!C:C,MATCH($A250,emprunts!A:A,0))</f>
        <v>Dexia CL</v>
      </c>
      <c r="C250" s="18">
        <f>INDEX(emprunts!M:M,MATCH($A250,emprunts!$A:$A,0))</f>
        <v>38534</v>
      </c>
      <c r="D250" s="18">
        <f>IF(INDEX(emprunts!O:O,MATCH($A250,emprunts!$A:$A,0))="",INDEX(emprunts!N:N,MATCH($A250,emprunts!$A:$A,0)),MIN(INDEX(emprunts!N:N,MATCH($A250,emprunts!$A:$A,0)),INDEX(emprunts!O:O,MATCH($A250,emprunts!$A:$A,0))))</f>
        <v>38899</v>
      </c>
      <c r="E250" s="52">
        <f>INDEX(emprunts!I:I,MATCH($A250,emprunts!$A:$A,0))</f>
        <v>16</v>
      </c>
      <c r="F250" s="18" t="str">
        <f>INDEX(emprunts!P:P,MATCH($A250,emprunts!$A:$A,0))</f>
        <v>Pente</v>
      </c>
      <c r="G250" s="126" t="str">
        <f>IF(LEFT(A250,3)="vx_","vx",INDEX(Categorie,MATCH($A250,emprunts!$A$2:$A$149,0)))</f>
        <v>Struct</v>
      </c>
      <c r="H250">
        <v>2005</v>
      </c>
      <c r="I250">
        <f t="shared" si="22"/>
        <v>1</v>
      </c>
      <c r="N250" s="14">
        <v>16962587</v>
      </c>
      <c r="O250" s="14">
        <v>16962587</v>
      </c>
      <c r="P250" s="26">
        <v>0</v>
      </c>
      <c r="Q250" s="14">
        <v>0</v>
      </c>
      <c r="R250" s="14">
        <v>0</v>
      </c>
      <c r="S250" s="14"/>
      <c r="T250" s="14">
        <v>388019.18</v>
      </c>
      <c r="U250" s="14">
        <v>0</v>
      </c>
      <c r="V250" s="14">
        <f t="shared" si="19"/>
        <v>0</v>
      </c>
      <c r="X250" s="85">
        <f t="shared" si="23"/>
        <v>0</v>
      </c>
      <c r="Y250" s="21">
        <f t="shared" si="24"/>
        <v>4.5625000279262938E-2</v>
      </c>
      <c r="AA250" s="55">
        <f t="shared" si="17"/>
        <v>388019.18</v>
      </c>
      <c r="AB250" s="55" t="str">
        <f t="shared" si="18"/>
        <v/>
      </c>
      <c r="AC250" s="55">
        <f t="shared" ref="AC250:AC303" si="25">MAX(0,(C250-DATE(H250,1,1))/365)*0+MAX(0,MIN(1,(MIN(DATE(H250,12,31),D250)-MAX(DATE(H250,1,1),C250))/365))*(O250+X250+R250/2)</f>
        <v>8504529.9205479454</v>
      </c>
    </row>
    <row r="251" spans="1:29">
      <c r="A251" t="s">
        <v>193</v>
      </c>
      <c r="B251" s="16" t="str">
        <f>INDEX(emprunts!C:C,MATCH($A251,emprunts!A:A,0))</f>
        <v>Dexia CL</v>
      </c>
      <c r="C251" s="18">
        <f>INDEX(emprunts!M:M,MATCH($A251,emprunts!$A:$A,0))</f>
        <v>38687</v>
      </c>
      <c r="D251" s="18">
        <f>IF(INDEX(emprunts!O:O,MATCH($A251,emprunts!$A:$A,0))="",INDEX(emprunts!N:N,MATCH($A251,emprunts!$A:$A,0)),MIN(INDEX(emprunts!N:N,MATCH($A251,emprunts!$A:$A,0)),INDEX(emprunts!O:O,MATCH($A251,emprunts!$A:$A,0))))</f>
        <v>38805</v>
      </c>
      <c r="E251" s="52">
        <f>INDEX(emprunts!I:I,MATCH($A251,emprunts!$A:$A,0))</f>
        <v>16</v>
      </c>
      <c r="F251" s="18" t="str">
        <f>INDEX(emprunts!P:P,MATCH($A251,emprunts!$A:$A,0))</f>
        <v>Pente</v>
      </c>
      <c r="G251" s="126" t="str">
        <f>IF(LEFT(A251,3)="vx_","vx",INDEX(Categorie,MATCH($A251,emprunts!$A$2:$A$149,0)))</f>
        <v>Struct</v>
      </c>
      <c r="H251">
        <v>2005</v>
      </c>
      <c r="I251">
        <f t="shared" si="22"/>
        <v>1</v>
      </c>
      <c r="N251" s="14">
        <v>12870042</v>
      </c>
      <c r="O251" s="14">
        <v>12870042</v>
      </c>
      <c r="P251" s="26">
        <v>0</v>
      </c>
      <c r="Q251" s="14">
        <v>0</v>
      </c>
      <c r="R251" s="14">
        <v>0</v>
      </c>
      <c r="S251" s="14"/>
      <c r="T251" s="14">
        <v>40218.879999999997</v>
      </c>
      <c r="U251" s="14">
        <v>0</v>
      </c>
      <c r="V251" s="14">
        <f t="shared" ref="V251:V312" si="26">IF(U251="","",U251-SUM(Q251:S251))</f>
        <v>0</v>
      </c>
      <c r="X251" s="85">
        <f t="shared" si="23"/>
        <v>0</v>
      </c>
      <c r="Y251" s="21">
        <f t="shared" si="24"/>
        <v>3.8020832151648511E-2</v>
      </c>
      <c r="AA251" s="55">
        <f t="shared" ref="AA251:AA314" si="27">T251+Q251+S251-SUMPRODUCT(($A$123:$A$1367=$A251)*($H$123:$H$1367=$H251-1),$T$123:$T$1367)</f>
        <v>40218.879999999997</v>
      </c>
      <c r="AB251" s="55" t="str">
        <f t="shared" ref="AB251:AB314" si="28">IF(YEAR(C251)=H251,"",O251+R251+X251-W251-SUMPRODUCT(($A$123:$A$1367=$A251)*($H$123:$H$1367=$H251-1),$O$123:$O$1367))</f>
        <v/>
      </c>
      <c r="AC251" s="55">
        <f t="shared" si="25"/>
        <v>1057811.6712328766</v>
      </c>
    </row>
    <row r="252" spans="1:29">
      <c r="A252" t="s">
        <v>195</v>
      </c>
      <c r="B252" s="16" t="str">
        <f>INDEX(emprunts!C:C,MATCH($A252,emprunts!A:A,0))</f>
        <v>Dexia CL</v>
      </c>
      <c r="C252" s="18">
        <f>INDEX(emprunts!M:M,MATCH($A252,emprunts!$A:$A,0))</f>
        <v>38709</v>
      </c>
      <c r="D252" s="18">
        <f>IF(INDEX(emprunts!O:O,MATCH($A252,emprunts!$A:$A,0))="",INDEX(emprunts!N:N,MATCH($A252,emprunts!$A:$A,0)),MIN(INDEX(emprunts!N:N,MATCH($A252,emprunts!$A:$A,0)),INDEX(emprunts!O:O,MATCH($A252,emprunts!$A:$A,0))))</f>
        <v>39203</v>
      </c>
      <c r="E252" s="52">
        <f>INDEX(emprunts!I:I,MATCH($A252,emprunts!$A:$A,0))</f>
        <v>18.170000000000002</v>
      </c>
      <c r="F252" s="18" t="str">
        <f>INDEX(emprunts!P:P,MATCH($A252,emprunts!$A:$A,0))</f>
        <v>Pente</v>
      </c>
      <c r="G252" s="126" t="str">
        <f>IF(LEFT(A252,3)="vx_","vx",INDEX(Categorie,MATCH($A252,emprunts!$A$2:$A$149,0)))</f>
        <v>Struct</v>
      </c>
      <c r="H252">
        <v>2005</v>
      </c>
      <c r="I252">
        <f t="shared" si="22"/>
        <v>1</v>
      </c>
      <c r="N252"/>
      <c r="O252" s="14"/>
      <c r="Q252" s="14"/>
      <c r="R252" s="14"/>
      <c r="S252" s="14"/>
      <c r="T252" s="14"/>
      <c r="U252" s="14"/>
      <c r="V252" s="14" t="str">
        <f t="shared" si="26"/>
        <v/>
      </c>
      <c r="X252" s="85">
        <f t="shared" si="23"/>
        <v>0</v>
      </c>
      <c r="Y252" s="21" t="str">
        <f t="shared" si="24"/>
        <v/>
      </c>
      <c r="AA252" s="55">
        <f t="shared" si="27"/>
        <v>0</v>
      </c>
      <c r="AB252" s="55" t="str">
        <f t="shared" si="28"/>
        <v/>
      </c>
      <c r="AC252" s="55">
        <f t="shared" si="25"/>
        <v>0</v>
      </c>
    </row>
    <row r="253" spans="1:29">
      <c r="A253" t="s">
        <v>197</v>
      </c>
      <c r="B253" s="16" t="str">
        <f>INDEX(emprunts!C:C,MATCH($A253,emprunts!A:A,0))</f>
        <v>Caisse d'Épargne</v>
      </c>
      <c r="C253" s="18">
        <f>INDEX(emprunts!M:M,MATCH($A253,emprunts!$A:$A,0))</f>
        <v>38773</v>
      </c>
      <c r="D253" s="18">
        <f>IF(INDEX(emprunts!O:O,MATCH($A253,emprunts!$A:$A,0))="",INDEX(emprunts!N:N,MATCH($A253,emprunts!$A:$A,0)),MIN(INDEX(emprunts!N:N,MATCH($A253,emprunts!$A:$A,0)),INDEX(emprunts!O:O,MATCH($A253,emprunts!$A:$A,0))))</f>
        <v>39288</v>
      </c>
      <c r="E253" s="52">
        <f>INDEX(emprunts!I:I,MATCH($A253,emprunts!$A:$A,0))</f>
        <v>20</v>
      </c>
      <c r="F253" s="18" t="str">
        <f>INDEX(emprunts!P:P,MATCH($A253,emprunts!$A:$A,0))</f>
        <v>Pente</v>
      </c>
      <c r="G253" s="126" t="str">
        <f>IF(LEFT(A253,3)="vx_","vx",INDEX(Categorie,MATCH($A253,emprunts!$A$2:$A$149,0)))</f>
        <v>Struct</v>
      </c>
      <c r="H253">
        <v>2005</v>
      </c>
      <c r="I253">
        <f t="shared" si="22"/>
        <v>0</v>
      </c>
      <c r="N253"/>
      <c r="O253" s="14"/>
      <c r="Q253" s="14"/>
      <c r="R253" s="14"/>
      <c r="S253" s="14"/>
      <c r="T253" s="14"/>
      <c r="U253" s="14"/>
      <c r="V253" s="14" t="str">
        <f t="shared" si="26"/>
        <v/>
      </c>
      <c r="X253" s="85">
        <f t="shared" si="23"/>
        <v>0</v>
      </c>
      <c r="Y253" s="21" t="str">
        <f t="shared" si="24"/>
        <v/>
      </c>
      <c r="AA253" s="55">
        <f t="shared" si="27"/>
        <v>0</v>
      </c>
      <c r="AB253" s="55">
        <f t="shared" si="28"/>
        <v>0</v>
      </c>
      <c r="AC253" s="55">
        <f t="shared" si="25"/>
        <v>0</v>
      </c>
    </row>
    <row r="254" spans="1:29">
      <c r="A254" t="s">
        <v>199</v>
      </c>
      <c r="B254" s="16" t="str">
        <f>INDEX(emprunts!C:C,MATCH($A254,emprunts!A:A,0))</f>
        <v>Dexia CL</v>
      </c>
      <c r="C254" s="18">
        <f>INDEX(emprunts!M:M,MATCH($A254,emprunts!$A:$A,0))</f>
        <v>38777</v>
      </c>
      <c r="D254" s="18">
        <f>IF(INDEX(emprunts!O:O,MATCH($A254,emprunts!$A:$A,0))="",INDEX(emprunts!N:N,MATCH($A254,emprunts!$A:$A,0)),MIN(INDEX(emprunts!N:N,MATCH($A254,emprunts!$A:$A,0)),INDEX(emprunts!O:O,MATCH($A254,emprunts!$A:$A,0))))</f>
        <v>40452</v>
      </c>
      <c r="E254" s="52">
        <f>INDEX(emprunts!I:I,MATCH($A254,emprunts!$A:$A,0))</f>
        <v>16.25</v>
      </c>
      <c r="F254" s="18" t="str">
        <f>INDEX(emprunts!P:P,MATCH($A254,emprunts!$A:$A,0))</f>
        <v>Change</v>
      </c>
      <c r="G254" s="126" t="str">
        <f>IF(LEFT(A254,3)="vx_","vx",INDEX(Categorie,MATCH($A254,emprunts!$A$2:$A$149,0)))</f>
        <v>Struct</v>
      </c>
      <c r="H254">
        <v>2005</v>
      </c>
      <c r="I254">
        <f t="shared" si="22"/>
        <v>0</v>
      </c>
      <c r="N254"/>
      <c r="O254" s="14"/>
      <c r="Q254" s="14"/>
      <c r="R254" s="14"/>
      <c r="S254" s="14"/>
      <c r="T254" s="14"/>
      <c r="U254" s="14"/>
      <c r="V254" s="14" t="str">
        <f t="shared" si="26"/>
        <v/>
      </c>
      <c r="X254" s="85">
        <f t="shared" si="23"/>
        <v>0</v>
      </c>
      <c r="Y254" s="21" t="str">
        <f t="shared" si="24"/>
        <v/>
      </c>
      <c r="AA254" s="55">
        <f t="shared" si="27"/>
        <v>0</v>
      </c>
      <c r="AB254" s="55">
        <f t="shared" si="28"/>
        <v>0</v>
      </c>
      <c r="AC254" s="55">
        <f t="shared" si="25"/>
        <v>0</v>
      </c>
    </row>
    <row r="255" spans="1:29">
      <c r="A255" t="s">
        <v>204</v>
      </c>
      <c r="B255" s="16" t="str">
        <f>INDEX(emprunts!C:C,MATCH($A255,emprunts!A:A,0))</f>
        <v>Crédit Agricole</v>
      </c>
      <c r="C255" s="18">
        <f>INDEX(emprunts!M:M,MATCH($A255,emprunts!$A:$A,0))</f>
        <v>38782</v>
      </c>
      <c r="D255" s="18">
        <f>IF(INDEX(emprunts!O:O,MATCH($A255,emprunts!$A:$A,0))="",INDEX(emprunts!N:N,MATCH($A255,emprunts!$A:$A,0)),MIN(INDEX(emprunts!N:N,MATCH($A255,emprunts!$A:$A,0)),INDEX(emprunts!O:O,MATCH($A255,emprunts!$A:$A,0))))</f>
        <v>44257</v>
      </c>
      <c r="E255" s="52">
        <f>INDEX(emprunts!I:I,MATCH($A255,emprunts!$A:$A,0))</f>
        <v>15</v>
      </c>
      <c r="F255" s="18" t="str">
        <f>INDEX(emprunts!P:P,MATCH($A255,emprunts!$A:$A,0))</f>
        <v>Barrière</v>
      </c>
      <c r="G255" s="126" t="str">
        <f>IF(LEFT(A255,3)="vx_","vx",INDEX(Categorie,MATCH($A255,emprunts!$A$2:$A$149,0)))</f>
        <v>Struct</v>
      </c>
      <c r="H255">
        <v>2005</v>
      </c>
      <c r="I255">
        <f t="shared" si="22"/>
        <v>0</v>
      </c>
      <c r="N255"/>
      <c r="O255" s="14"/>
      <c r="Q255" s="14"/>
      <c r="R255" s="14"/>
      <c r="S255" s="14"/>
      <c r="T255" s="14"/>
      <c r="U255" s="14"/>
      <c r="V255" s="14" t="str">
        <f t="shared" si="26"/>
        <v/>
      </c>
      <c r="X255" s="85">
        <f t="shared" si="23"/>
        <v>0</v>
      </c>
      <c r="Y255" s="21" t="str">
        <f t="shared" si="24"/>
        <v/>
      </c>
      <c r="AA255" s="55">
        <f t="shared" si="27"/>
        <v>0</v>
      </c>
      <c r="AB255" s="55">
        <f t="shared" si="28"/>
        <v>0</v>
      </c>
      <c r="AC255" s="55">
        <f t="shared" si="25"/>
        <v>0</v>
      </c>
    </row>
    <row r="256" spans="1:29">
      <c r="A256" t="s">
        <v>207</v>
      </c>
      <c r="B256" s="16" t="str">
        <f>INDEX(emprunts!C:C,MATCH($A256,emprunts!A:A,0))</f>
        <v>Crédit Agricole</v>
      </c>
      <c r="C256" s="18">
        <f>INDEX(emprunts!M:M,MATCH($A256,emprunts!$A:$A,0))</f>
        <v>38782</v>
      </c>
      <c r="D256" s="18">
        <f>IF(INDEX(emprunts!O:O,MATCH($A256,emprunts!$A:$A,0))="",INDEX(emprunts!N:N,MATCH($A256,emprunts!$A:$A,0)),MIN(INDEX(emprunts!N:N,MATCH($A256,emprunts!$A:$A,0)),INDEX(emprunts!O:O,MATCH($A256,emprunts!$A:$A,0))))</f>
        <v>44261</v>
      </c>
      <c r="E256" s="52">
        <f>INDEX(emprunts!I:I,MATCH($A256,emprunts!$A:$A,0))</f>
        <v>15</v>
      </c>
      <c r="F256" s="18" t="str">
        <f>INDEX(emprunts!P:P,MATCH($A256,emprunts!$A:$A,0))</f>
        <v>Fixe</v>
      </c>
      <c r="G256" s="126" t="str">
        <f>IF(LEFT(A256,3)="vx_","vx",INDEX(Categorie,MATCH($A256,emprunts!$A$2:$A$149,0)))</f>
        <v>Non_st</v>
      </c>
      <c r="H256">
        <v>2005</v>
      </c>
      <c r="I256">
        <f t="shared" si="22"/>
        <v>0</v>
      </c>
      <c r="N256"/>
      <c r="O256" s="14"/>
      <c r="Q256" s="14"/>
      <c r="R256" s="14"/>
      <c r="S256" s="14"/>
      <c r="T256" s="14"/>
      <c r="U256" s="14"/>
      <c r="V256" s="14" t="str">
        <f t="shared" si="26"/>
        <v/>
      </c>
      <c r="X256" s="85">
        <f t="shared" si="23"/>
        <v>0</v>
      </c>
      <c r="Y256" s="21" t="str">
        <f t="shared" si="24"/>
        <v/>
      </c>
      <c r="AA256" s="55">
        <f t="shared" si="27"/>
        <v>0</v>
      </c>
      <c r="AB256" s="55">
        <f t="shared" si="28"/>
        <v>0</v>
      </c>
      <c r="AC256" s="55">
        <f t="shared" si="25"/>
        <v>0</v>
      </c>
    </row>
    <row r="257" spans="1:29">
      <c r="A257" t="s">
        <v>209</v>
      </c>
      <c r="B257" s="16" t="str">
        <f>INDEX(emprunts!C:C,MATCH($A257,emprunts!A:A,0))</f>
        <v>Dexia CL</v>
      </c>
      <c r="C257" s="18">
        <f>INDEX(emprunts!M:M,MATCH($A257,emprunts!$A:$A,0))</f>
        <v>38849</v>
      </c>
      <c r="D257" s="18">
        <f>IF(INDEX(emprunts!O:O,MATCH($A257,emprunts!$A:$A,0))="",INDEX(emprunts!N:N,MATCH($A257,emprunts!$A:$A,0)),MIN(INDEX(emprunts!N:N,MATCH($A257,emprunts!$A:$A,0)),INDEX(emprunts!O:O,MATCH($A257,emprunts!$A:$A,0))))</f>
        <v>39539</v>
      </c>
      <c r="E257" s="52">
        <f>INDEX(emprunts!I:I,MATCH($A257,emprunts!$A:$A,0))</f>
        <v>16.670000000000002</v>
      </c>
      <c r="F257" s="18" t="str">
        <f>INDEX(emprunts!P:P,MATCH($A257,emprunts!$A:$A,0))</f>
        <v>Fixe</v>
      </c>
      <c r="G257" s="126" t="str">
        <f>IF(LEFT(A257,3)="vx_","vx",INDEX(Categorie,MATCH($A257,emprunts!$A$2:$A$149,0)))</f>
        <v>Non_st</v>
      </c>
      <c r="H257">
        <v>2005</v>
      </c>
      <c r="I257">
        <f t="shared" si="22"/>
        <v>0</v>
      </c>
      <c r="N257"/>
      <c r="O257" s="14"/>
      <c r="Q257" s="14"/>
      <c r="R257" s="14"/>
      <c r="S257" s="14"/>
      <c r="T257" s="14"/>
      <c r="U257" s="14"/>
      <c r="V257" s="14" t="str">
        <f t="shared" si="26"/>
        <v/>
      </c>
      <c r="X257" s="85">
        <f t="shared" si="23"/>
        <v>0</v>
      </c>
      <c r="Y257" s="21" t="str">
        <f t="shared" si="24"/>
        <v/>
      </c>
      <c r="AA257" s="55">
        <f t="shared" si="27"/>
        <v>0</v>
      </c>
      <c r="AB257" s="55">
        <f t="shared" si="28"/>
        <v>0</v>
      </c>
      <c r="AC257" s="55">
        <f t="shared" si="25"/>
        <v>0</v>
      </c>
    </row>
    <row r="258" spans="1:29">
      <c r="A258" t="s">
        <v>211</v>
      </c>
      <c r="B258" s="16" t="str">
        <f>INDEX(emprunts!C:C,MATCH($A258,emprunts!A:A,0))</f>
        <v>Dexia CL</v>
      </c>
      <c r="C258" s="18">
        <f>INDEX(emprunts!M:M,MATCH($A258,emprunts!$A:$A,0))</f>
        <v>38899</v>
      </c>
      <c r="D258" s="18">
        <f>IF(INDEX(emprunts!O:O,MATCH($A258,emprunts!$A:$A,0))="",INDEX(emprunts!N:N,MATCH($A258,emprunts!$A:$A,0)),MIN(INDEX(emprunts!N:N,MATCH($A258,emprunts!$A:$A,0)),INDEX(emprunts!O:O,MATCH($A258,emprunts!$A:$A,0))))</f>
        <v>40737</v>
      </c>
      <c r="E258" s="52">
        <f>INDEX(emprunts!I:I,MATCH($A258,emprunts!$A:$A,0))</f>
        <v>20</v>
      </c>
      <c r="F258" s="18" t="str">
        <f>INDEX(emprunts!P:P,MATCH($A258,emprunts!$A:$A,0))</f>
        <v>Change</v>
      </c>
      <c r="G258" s="126" t="str">
        <f>IF(LEFT(A258,3)="vx_","vx",INDEX(Categorie,MATCH($A258,emprunts!$A$2:$A$149,0)))</f>
        <v>Struct</v>
      </c>
      <c r="H258">
        <v>2005</v>
      </c>
      <c r="I258">
        <f t="shared" si="22"/>
        <v>0</v>
      </c>
      <c r="N258"/>
      <c r="O258" s="14"/>
      <c r="Q258" s="14"/>
      <c r="R258" s="14"/>
      <c r="S258" s="14"/>
      <c r="T258" s="14"/>
      <c r="U258" s="14"/>
      <c r="V258" s="14" t="str">
        <f t="shared" si="26"/>
        <v/>
      </c>
      <c r="X258" s="85">
        <f t="shared" si="23"/>
        <v>0</v>
      </c>
      <c r="Y258" s="21" t="str">
        <f t="shared" si="24"/>
        <v/>
      </c>
      <c r="AA258" s="55">
        <f t="shared" si="27"/>
        <v>0</v>
      </c>
      <c r="AB258" s="55">
        <f t="shared" si="28"/>
        <v>0</v>
      </c>
      <c r="AC258" s="55">
        <f t="shared" si="25"/>
        <v>0</v>
      </c>
    </row>
    <row r="259" spans="1:29">
      <c r="A259" t="s">
        <v>213</v>
      </c>
      <c r="B259" s="16" t="str">
        <f>INDEX(emprunts!C:C,MATCH($A259,emprunts!A:A,0))</f>
        <v>Dexia CL</v>
      </c>
      <c r="C259" s="18">
        <f>INDEX(emprunts!M:M,MATCH($A259,emprunts!$A:$A,0))</f>
        <v>38899</v>
      </c>
      <c r="D259" s="18">
        <f>IF(INDEX(emprunts!O:O,MATCH($A259,emprunts!$A:$A,0))="",INDEX(emprunts!N:N,MATCH($A259,emprunts!$A:$A,0)),MIN(INDEX(emprunts!N:N,MATCH($A259,emprunts!$A:$A,0)),INDEX(emprunts!O:O,MATCH($A259,emprunts!$A:$A,0))))</f>
        <v>39783</v>
      </c>
      <c r="E259" s="52">
        <f>INDEX(emprunts!I:I,MATCH($A259,emprunts!$A:$A,0))</f>
        <v>19.75</v>
      </c>
      <c r="F259" s="18" t="str">
        <f>INDEX(emprunts!P:P,MATCH($A259,emprunts!$A:$A,0))</f>
        <v>Pente</v>
      </c>
      <c r="G259" s="126" t="str">
        <f>IF(LEFT(A259,3)="vx_","vx",INDEX(Categorie,MATCH($A259,emprunts!$A$2:$A$149,0)))</f>
        <v>Struct</v>
      </c>
      <c r="H259">
        <v>2005</v>
      </c>
      <c r="I259">
        <f t="shared" si="22"/>
        <v>0</v>
      </c>
      <c r="N259"/>
      <c r="O259" s="14"/>
      <c r="Q259" s="14"/>
      <c r="R259" s="14"/>
      <c r="S259" s="14"/>
      <c r="T259" s="14"/>
      <c r="U259" s="14"/>
      <c r="V259" s="14" t="str">
        <f t="shared" si="26"/>
        <v/>
      </c>
      <c r="X259" s="85">
        <f t="shared" si="23"/>
        <v>0</v>
      </c>
      <c r="Y259" s="21" t="str">
        <f t="shared" si="24"/>
        <v/>
      </c>
      <c r="AA259" s="55">
        <f t="shared" si="27"/>
        <v>0</v>
      </c>
      <c r="AB259" s="55">
        <f t="shared" si="28"/>
        <v>0</v>
      </c>
      <c r="AC259" s="55">
        <f t="shared" si="25"/>
        <v>0</v>
      </c>
    </row>
    <row r="260" spans="1:29">
      <c r="A260" t="s">
        <v>215</v>
      </c>
      <c r="B260" s="16" t="str">
        <f>INDEX(emprunts!C:C,MATCH($A260,emprunts!A:A,0))</f>
        <v>Dexia CL</v>
      </c>
      <c r="C260" s="18">
        <f>INDEX(emprunts!M:M,MATCH($A260,emprunts!$A:$A,0))</f>
        <v>38991</v>
      </c>
      <c r="D260" s="18">
        <f>IF(INDEX(emprunts!O:O,MATCH($A260,emprunts!$A:$A,0))="",INDEX(emprunts!N:N,MATCH($A260,emprunts!$A:$A,0)),MIN(INDEX(emprunts!N:N,MATCH($A260,emprunts!$A:$A,0)),INDEX(emprunts!O:O,MATCH($A260,emprunts!$A:$A,0))))</f>
        <v>40087</v>
      </c>
      <c r="E260" s="52">
        <f>INDEX(emprunts!I:I,MATCH($A260,emprunts!$A:$A,0))</f>
        <v>19</v>
      </c>
      <c r="F260" s="18" t="str">
        <f>INDEX(emprunts!P:P,MATCH($A260,emprunts!$A:$A,0))</f>
        <v>Change</v>
      </c>
      <c r="G260" s="126" t="str">
        <f>IF(LEFT(A260,3)="vx_","vx",INDEX(Categorie,MATCH($A260,emprunts!$A$2:$A$149,0)))</f>
        <v>Struct</v>
      </c>
      <c r="H260">
        <v>2005</v>
      </c>
      <c r="I260">
        <f t="shared" si="22"/>
        <v>0</v>
      </c>
      <c r="N260"/>
      <c r="O260" s="14"/>
      <c r="Q260" s="14"/>
      <c r="R260" s="14"/>
      <c r="S260" s="14"/>
      <c r="T260" s="14"/>
      <c r="U260" s="14"/>
      <c r="V260" s="14" t="str">
        <f t="shared" si="26"/>
        <v/>
      </c>
      <c r="X260" s="85">
        <f t="shared" si="23"/>
        <v>0</v>
      </c>
      <c r="Y260" s="21" t="str">
        <f t="shared" si="24"/>
        <v/>
      </c>
      <c r="AA260" s="55">
        <f t="shared" si="27"/>
        <v>0</v>
      </c>
      <c r="AB260" s="55">
        <f t="shared" si="28"/>
        <v>0</v>
      </c>
      <c r="AC260" s="55">
        <f t="shared" si="25"/>
        <v>0</v>
      </c>
    </row>
    <row r="261" spans="1:29">
      <c r="A261" t="s">
        <v>217</v>
      </c>
      <c r="B261" s="16" t="str">
        <f>INDEX(emprunts!C:C,MATCH($A261,emprunts!A:A,0))</f>
        <v>Dexia CL</v>
      </c>
      <c r="C261" s="18">
        <f>INDEX(emprunts!M:M,MATCH($A261,emprunts!$A:$A,0))</f>
        <v>38991</v>
      </c>
      <c r="D261" s="18">
        <f>IF(INDEX(emprunts!O:O,MATCH($A261,emprunts!$A:$A,0))="",INDEX(emprunts!N:N,MATCH($A261,emprunts!$A:$A,0)),MIN(INDEX(emprunts!N:N,MATCH($A261,emprunts!$A:$A,0)),INDEX(emprunts!O:O,MATCH($A261,emprunts!$A:$A,0))))</f>
        <v>39783</v>
      </c>
      <c r="E261" s="52">
        <f>INDEX(emprunts!I:I,MATCH($A261,emprunts!$A:$A,0))</f>
        <v>19.170000000000002</v>
      </c>
      <c r="F261" s="18" t="str">
        <f>INDEX(emprunts!P:P,MATCH($A261,emprunts!$A:$A,0))</f>
        <v>Change</v>
      </c>
      <c r="G261" s="126" t="str">
        <f>IF(LEFT(A261,3)="vx_","vx",INDEX(Categorie,MATCH($A261,emprunts!$A$2:$A$149,0)))</f>
        <v>Struct</v>
      </c>
      <c r="H261">
        <v>2005</v>
      </c>
      <c r="I261">
        <f t="shared" si="22"/>
        <v>0</v>
      </c>
      <c r="N261"/>
      <c r="O261" s="14"/>
      <c r="Q261" s="14"/>
      <c r="R261" s="14"/>
      <c r="S261" s="14"/>
      <c r="T261" s="14"/>
      <c r="U261" s="14"/>
      <c r="V261" s="14" t="str">
        <f t="shared" si="26"/>
        <v/>
      </c>
      <c r="X261" s="85">
        <f t="shared" si="23"/>
        <v>0</v>
      </c>
      <c r="Y261" s="21" t="str">
        <f t="shared" si="24"/>
        <v/>
      </c>
      <c r="AA261" s="55">
        <f t="shared" si="27"/>
        <v>0</v>
      </c>
      <c r="AB261" s="55">
        <f t="shared" si="28"/>
        <v>0</v>
      </c>
      <c r="AC261" s="55">
        <f t="shared" si="25"/>
        <v>0</v>
      </c>
    </row>
    <row r="262" spans="1:29">
      <c r="A262" s="1" t="s">
        <v>479</v>
      </c>
      <c r="B262" s="16" t="str">
        <f>INDEX(emprunts!C:C,MATCH($A262,emprunts!A:A,0))</f>
        <v>Caisse d'Épargne</v>
      </c>
      <c r="C262" s="18">
        <f>INDEX(emprunts!M:M,MATCH($A262,emprunts!$A:$A,0))</f>
        <v>39050</v>
      </c>
      <c r="D262" s="18">
        <f>IF(INDEX(emprunts!O:O,MATCH($A262,emprunts!$A:$A,0))="",INDEX(emprunts!N:N,MATCH($A262,emprunts!$A:$A,0)),MIN(INDEX(emprunts!N:N,MATCH($A262,emprunts!$A:$A,0)),INDEX(emprunts!O:O,MATCH($A262,emprunts!$A:$A,0))))</f>
        <v>40142</v>
      </c>
      <c r="E262" s="52">
        <f>INDEX(emprunts!I:I,MATCH($A262,emprunts!$A:$A,0))</f>
        <v>20</v>
      </c>
      <c r="F262" s="18" t="str">
        <f>INDEX(emprunts!P:P,MATCH($A262,emprunts!$A:$A,0))</f>
        <v>Pente</v>
      </c>
      <c r="G262" s="126" t="str">
        <f>IF(LEFT(A262,3)="vx_","vx",INDEX(Categorie,MATCH($A262,emprunts!$A$2:$A$149,0)))</f>
        <v>Struct</v>
      </c>
      <c r="H262">
        <v>2005</v>
      </c>
      <c r="I262">
        <f t="shared" si="22"/>
        <v>0</v>
      </c>
      <c r="N262"/>
      <c r="O262" s="58"/>
      <c r="Q262" s="14"/>
      <c r="R262" s="14"/>
      <c r="S262" s="14"/>
      <c r="T262" s="14"/>
      <c r="U262" s="14"/>
      <c r="V262" s="14" t="str">
        <f t="shared" si="26"/>
        <v/>
      </c>
      <c r="X262" s="85">
        <f t="shared" si="23"/>
        <v>0</v>
      </c>
      <c r="Y262" s="21" t="str">
        <f t="shared" si="24"/>
        <v/>
      </c>
      <c r="AA262" s="55">
        <f t="shared" si="27"/>
        <v>0</v>
      </c>
      <c r="AB262" s="55">
        <f t="shared" si="28"/>
        <v>0</v>
      </c>
      <c r="AC262" s="55">
        <f t="shared" si="25"/>
        <v>0</v>
      </c>
    </row>
    <row r="263" spans="1:29">
      <c r="A263" s="1" t="s">
        <v>540</v>
      </c>
      <c r="B263" s="16" t="str">
        <f>INDEX(emprunts!C:C,MATCH($A263,emprunts!A:A,0))</f>
        <v>Crédit Mutuel</v>
      </c>
      <c r="C263" s="18">
        <f>INDEX(emprunts!M:M,MATCH($A263,emprunts!$A:$A,0))</f>
        <v>36495</v>
      </c>
      <c r="D263" s="18">
        <f>IF(INDEX(emprunts!O:O,MATCH($A263,emprunts!$A:$A,0))="",INDEX(emprunts!N:N,MATCH($A263,emprunts!$A:$A,0)),MIN(INDEX(emprunts!N:N,MATCH($A263,emprunts!$A:$A,0)),INDEX(emprunts!O:O,MATCH($A263,emprunts!$A:$A,0))))</f>
        <v>41973</v>
      </c>
      <c r="E263" s="52">
        <f>INDEX(emprunts!I:I,MATCH($A263,emprunts!$A:$A,0))</f>
        <v>15</v>
      </c>
      <c r="F263" s="18" t="str">
        <f>INDEX(emprunts!P:P,MATCH($A263,emprunts!$A:$A,0))</f>
        <v>Fixe à phase</v>
      </c>
      <c r="G263" s="126" t="str">
        <f>IF(LEFT(A263,3)="vx_","vx",INDEX(Categorie,MATCH($A263,emprunts!$A$2:$A$149,0)))</f>
        <v>Non_st</v>
      </c>
      <c r="H263" s="6">
        <v>2006</v>
      </c>
      <c r="I263">
        <f t="shared" si="22"/>
        <v>1</v>
      </c>
      <c r="J263" s="4"/>
      <c r="K263" t="s">
        <v>155</v>
      </c>
      <c r="L263" s="5">
        <v>36860</v>
      </c>
      <c r="M263" s="5">
        <v>36860</v>
      </c>
      <c r="N263" s="14">
        <v>1524490.17</v>
      </c>
      <c r="O263" s="14">
        <v>1071071</v>
      </c>
      <c r="P263" s="4">
        <v>3.5249999999999997E-2</v>
      </c>
      <c r="Q263" s="14">
        <v>41780.730000000003</v>
      </c>
      <c r="R263" s="14">
        <v>114197.74</v>
      </c>
      <c r="S263" s="14"/>
      <c r="T263" s="14">
        <v>3206.61</v>
      </c>
      <c r="U263" s="14">
        <f>SUM(Q263:S263)</f>
        <v>155978.47</v>
      </c>
      <c r="V263" s="14">
        <f t="shared" si="26"/>
        <v>0</v>
      </c>
      <c r="W263" s="85"/>
      <c r="X263" s="85">
        <f t="shared" si="23"/>
        <v>0</v>
      </c>
      <c r="Y263" s="21">
        <f t="shared" si="24"/>
        <v>3.7037603790860109E-2</v>
      </c>
      <c r="AA263" s="55">
        <f t="shared" si="27"/>
        <v>41670.230000000003</v>
      </c>
      <c r="AB263" s="55">
        <f t="shared" si="28"/>
        <v>-0.26000000000931323</v>
      </c>
      <c r="AC263" s="55">
        <f t="shared" si="25"/>
        <v>1125078.9936438357</v>
      </c>
    </row>
    <row r="264" spans="1:29">
      <c r="A264" t="s">
        <v>10</v>
      </c>
      <c r="B264" s="16" t="str">
        <f>INDEX(emprunts!C:C,MATCH($A264,emprunts!A:A,0))</f>
        <v>Crédit Mutuel</v>
      </c>
      <c r="C264" s="18">
        <f>INDEX(emprunts!M:M,MATCH($A264,emprunts!$A:$A,0))</f>
        <v>36950</v>
      </c>
      <c r="D264" s="18">
        <f>IF(INDEX(emprunts!O:O,MATCH($A264,emprunts!$A:$A,0))="",INDEX(emprunts!N:N,MATCH($A264,emprunts!$A:$A,0)),MIN(INDEX(emprunts!N:N,MATCH($A264,emprunts!$A:$A,0)),INDEX(emprunts!O:O,MATCH($A264,emprunts!$A:$A,0))))</f>
        <v>42429</v>
      </c>
      <c r="E264" s="52">
        <f>INDEX(emprunts!I:I,MATCH($A264,emprunts!$A:$A,0))</f>
        <v>15</v>
      </c>
      <c r="F264" s="18" t="str">
        <f>INDEX(emprunts!P:P,MATCH($A264,emprunts!$A:$A,0))</f>
        <v>Fixe</v>
      </c>
      <c r="G264" s="126" t="str">
        <f>IF(LEFT(A264,3)="vx_","vx",INDEX(Categorie,MATCH($A264,emprunts!$A$2:$A$149,0)))</f>
        <v>Non_st</v>
      </c>
      <c r="H264">
        <v>2006</v>
      </c>
      <c r="I264">
        <f t="shared" si="22"/>
        <v>1</v>
      </c>
      <c r="L264" s="5">
        <v>37315</v>
      </c>
      <c r="M264" s="5">
        <v>38045</v>
      </c>
      <c r="N264" s="14">
        <v>609796.06999999995</v>
      </c>
      <c r="O264" s="58">
        <v>469074</v>
      </c>
      <c r="P264" s="4">
        <v>4.99E-2</v>
      </c>
      <c r="Q264" s="14">
        <v>25747.47</v>
      </c>
      <c r="R264" s="14">
        <v>46907.39</v>
      </c>
      <c r="S264" s="14"/>
      <c r="T264" s="14">
        <v>13893.56</v>
      </c>
      <c r="U264" s="14">
        <f t="shared" ref="U264" si="29">SUM(Q264:S264)</f>
        <v>72654.86</v>
      </c>
      <c r="V264" s="14">
        <f t="shared" si="26"/>
        <v>0</v>
      </c>
      <c r="X264" s="85">
        <f t="shared" si="23"/>
        <v>0</v>
      </c>
      <c r="Y264" s="21">
        <f t="shared" si="24"/>
        <v>3.6759522664066568E-2</v>
      </c>
      <c r="AA264" s="55">
        <f t="shared" si="27"/>
        <v>18055.48</v>
      </c>
      <c r="AB264" s="55">
        <f t="shared" si="28"/>
        <v>0.39000000001396984</v>
      </c>
      <c r="AC264" s="55">
        <f t="shared" si="25"/>
        <v>491178.30405479454</v>
      </c>
    </row>
    <row r="265" spans="1:29">
      <c r="A265" t="s">
        <v>16</v>
      </c>
      <c r="B265" s="16" t="str">
        <f>INDEX(emprunts!C:C,MATCH($A265,emprunts!A:A,0))</f>
        <v>Caisse d'Épargne</v>
      </c>
      <c r="C265" s="18">
        <f>INDEX(emprunts!M:M,MATCH($A265,emprunts!$A:$A,0))</f>
        <v>37189</v>
      </c>
      <c r="D265" s="18">
        <f>IF(INDEX(emprunts!O:O,MATCH($A265,emprunts!$A:$A,0))="",INDEX(emprunts!N:N,MATCH($A265,emprunts!$A:$A,0)),MIN(INDEX(emprunts!N:N,MATCH($A265,emprunts!$A:$A,0)),INDEX(emprunts!O:O,MATCH($A265,emprunts!$A:$A,0))))</f>
        <v>38773</v>
      </c>
      <c r="E265" s="52">
        <f>INDEX(emprunts!I:I,MATCH($A265,emprunts!$A:$A,0))</f>
        <v>19</v>
      </c>
      <c r="F265" s="18" t="str">
        <f>INDEX(emprunts!P:P,MATCH($A265,emprunts!$A:$A,0))</f>
        <v>Pente</v>
      </c>
      <c r="G265" s="126" t="str">
        <f>IF(LEFT(A265,3)="vx_","vx",INDEX(Categorie,MATCH($A265,emprunts!$A$2:$A$149,0)))</f>
        <v>Struct</v>
      </c>
      <c r="H265">
        <v>2006</v>
      </c>
      <c r="I265">
        <f t="shared" si="22"/>
        <v>1</v>
      </c>
      <c r="L265" s="5">
        <v>37220</v>
      </c>
      <c r="M265" s="5">
        <v>38408</v>
      </c>
      <c r="N265" s="14">
        <v>11859925.98</v>
      </c>
      <c r="O265" s="58">
        <v>0</v>
      </c>
      <c r="P265" s="4">
        <v>1.1299999999999999E-2</v>
      </c>
      <c r="Q265" s="14">
        <v>130527.06</v>
      </c>
      <c r="R265" s="14">
        <v>478489.89</v>
      </c>
      <c r="S265" s="14"/>
      <c r="T265" s="14">
        <v>0</v>
      </c>
      <c r="U265" s="14">
        <f>SUM(Q265:S265)</f>
        <v>609016.94999999995</v>
      </c>
      <c r="V265" s="14">
        <f t="shared" si="26"/>
        <v>0</v>
      </c>
      <c r="X265" s="85">
        <f t="shared" si="23"/>
        <v>10915000</v>
      </c>
      <c r="Y265" s="21">
        <f t="shared" si="24"/>
        <v>2.024082158240445E-3</v>
      </c>
      <c r="AA265" s="55">
        <f t="shared" si="27"/>
        <v>3402.0299999999988</v>
      </c>
      <c r="AB265" s="55">
        <f t="shared" si="28"/>
        <v>656.89000000059605</v>
      </c>
      <c r="AC265" s="55">
        <f t="shared" si="25"/>
        <v>1680776.635547945</v>
      </c>
    </row>
    <row r="266" spans="1:29">
      <c r="A266" t="s">
        <v>22</v>
      </c>
      <c r="B266" s="16" t="str">
        <f>INDEX(emprunts!C:C,MATCH($A266,emprunts!A:A,0))</f>
        <v>Dexia CL</v>
      </c>
      <c r="C266" s="18">
        <f>INDEX(emprunts!M:M,MATCH($A266,emprunts!$A:$A,0))</f>
        <v>37221</v>
      </c>
      <c r="D266" s="18">
        <f>IF(INDEX(emprunts!O:O,MATCH($A266,emprunts!$A:$A,0))="",INDEX(emprunts!N:N,MATCH($A266,emprunts!$A:$A,0)),MIN(INDEX(emprunts!N:N,MATCH($A266,emprunts!$A:$A,0)),INDEX(emprunts!O:O,MATCH($A266,emprunts!$A:$A,0))))</f>
        <v>38777</v>
      </c>
      <c r="E266" s="52">
        <f>INDEX(emprunts!I:I,MATCH($A266,emprunts!$A:$A,0))</f>
        <v>20</v>
      </c>
      <c r="F266" s="18" t="str">
        <f>INDEX(emprunts!P:P,MATCH($A266,emprunts!$A:$A,0))</f>
        <v>Annulable</v>
      </c>
      <c r="G266" s="126" t="str">
        <f>IF(LEFT(A266,3)="vx_","vx",INDEX(Categorie,MATCH($A266,emprunts!$A$2:$A$149,0)))</f>
        <v>Struct</v>
      </c>
      <c r="H266">
        <v>2006</v>
      </c>
      <c r="I266">
        <f t="shared" si="22"/>
        <v>1</v>
      </c>
      <c r="N266"/>
      <c r="O266" s="58"/>
      <c r="Q266" s="14"/>
      <c r="R266" s="14"/>
      <c r="S266" s="14"/>
      <c r="T266" s="14"/>
      <c r="U266" s="14"/>
      <c r="V266" s="14" t="str">
        <f t="shared" si="26"/>
        <v/>
      </c>
      <c r="X266" s="85">
        <f t="shared" si="23"/>
        <v>2401000</v>
      </c>
      <c r="Y266" s="21" t="str">
        <f t="shared" si="24"/>
        <v/>
      </c>
      <c r="AA266" s="55">
        <f t="shared" si="27"/>
        <v>-8720.08</v>
      </c>
      <c r="AB266" s="55">
        <f t="shared" si="28"/>
        <v>-38184</v>
      </c>
      <c r="AC266" s="55">
        <f t="shared" si="25"/>
        <v>388106.84931506851</v>
      </c>
    </row>
    <row r="267" spans="1:29">
      <c r="A267" t="s">
        <v>26</v>
      </c>
      <c r="B267" s="16" t="str">
        <f>INDEX(emprunts!C:C,MATCH($A267,emprunts!A:A,0))</f>
        <v>CDC</v>
      </c>
      <c r="C267" s="18">
        <f>INDEX(emprunts!M:M,MATCH($A267,emprunts!$A:$A,0))</f>
        <v>37281</v>
      </c>
      <c r="D267" s="18">
        <f>IF(INDEX(emprunts!O:O,MATCH($A267,emprunts!$A:$A,0))="",INDEX(emprunts!N:N,MATCH($A267,emprunts!$A:$A,0)),MIN(INDEX(emprunts!N:N,MATCH($A267,emprunts!$A:$A,0)),INDEX(emprunts!O:O,MATCH($A267,emprunts!$A:$A,0))))</f>
        <v>39838</v>
      </c>
      <c r="E267" s="52">
        <f>INDEX(emprunts!I:I,MATCH($A267,emprunts!$A:$A,0))</f>
        <v>7</v>
      </c>
      <c r="F267" s="18" t="str">
        <f>INDEX(emprunts!P:P,MATCH($A267,emprunts!$A:$A,0))</f>
        <v>Fixe</v>
      </c>
      <c r="G267" s="126" t="str">
        <f>IF(LEFT(A267,3)="vx_","vx",INDEX(Categorie,MATCH($A267,emprunts!$A$2:$A$149,0)))</f>
        <v>Non_st</v>
      </c>
      <c r="H267">
        <v>2006</v>
      </c>
      <c r="I267">
        <f t="shared" si="22"/>
        <v>1</v>
      </c>
      <c r="N267"/>
      <c r="O267" s="58"/>
      <c r="Q267" s="14"/>
      <c r="R267" s="14"/>
      <c r="S267" s="14"/>
      <c r="T267" s="14"/>
      <c r="U267" s="14"/>
      <c r="V267" s="14" t="str">
        <f t="shared" si="26"/>
        <v/>
      </c>
      <c r="X267" s="85">
        <f t="shared" si="23"/>
        <v>0</v>
      </c>
      <c r="Y267" s="21" t="str">
        <f t="shared" si="24"/>
        <v/>
      </c>
      <c r="AA267" s="55">
        <f t="shared" si="27"/>
        <v>0</v>
      </c>
      <c r="AB267" s="55">
        <f t="shared" si="28"/>
        <v>0</v>
      </c>
      <c r="AC267" s="55">
        <f t="shared" si="25"/>
        <v>0</v>
      </c>
    </row>
    <row r="268" spans="1:29">
      <c r="A268" t="s">
        <v>28</v>
      </c>
      <c r="B268" s="16" t="str">
        <f>INDEX(emprunts!C:C,MATCH($A268,emprunts!A:A,0))</f>
        <v>CDC</v>
      </c>
      <c r="C268" s="18">
        <f>INDEX(emprunts!M:M,MATCH($A268,emprunts!$A:$A,0))</f>
        <v>37288</v>
      </c>
      <c r="D268" s="18">
        <f>IF(INDEX(emprunts!O:O,MATCH($A268,emprunts!$A:$A,0))="",INDEX(emprunts!N:N,MATCH($A268,emprunts!$A:$A,0)),MIN(INDEX(emprunts!N:N,MATCH($A268,emprunts!$A:$A,0)),INDEX(emprunts!O:O,MATCH($A268,emprunts!$A:$A,0))))</f>
        <v>44593</v>
      </c>
      <c r="E268" s="52">
        <f>INDEX(emprunts!I:I,MATCH($A268,emprunts!$A:$A,0))</f>
        <v>20</v>
      </c>
      <c r="F268" s="18" t="str">
        <f>INDEX(emprunts!P:P,MATCH($A268,emprunts!$A:$A,0))</f>
        <v>Livret A</v>
      </c>
      <c r="G268" s="126" t="str">
        <f>IF(LEFT(A268,3)="vx_","vx",INDEX(Categorie,MATCH($A268,emprunts!$A$2:$A$149,0)))</f>
        <v>Livr_A</v>
      </c>
      <c r="H268">
        <v>2006</v>
      </c>
      <c r="I268">
        <f t="shared" si="22"/>
        <v>1</v>
      </c>
      <c r="L268" s="5">
        <v>37653</v>
      </c>
      <c r="M268" s="5">
        <v>37653</v>
      </c>
      <c r="N268" s="14">
        <v>2137796</v>
      </c>
      <c r="O268" s="58">
        <v>1793716</v>
      </c>
      <c r="P268" s="4">
        <v>2.2499999999999999E-2</v>
      </c>
      <c r="Q268" s="14">
        <v>42435.42</v>
      </c>
      <c r="R268" s="14">
        <v>92302.49</v>
      </c>
      <c r="S268" s="14"/>
      <c r="T268" s="14">
        <v>36820.32</v>
      </c>
      <c r="U268" s="14">
        <f>SUM(Q268:S268)</f>
        <v>134737.91</v>
      </c>
      <c r="V268" s="14">
        <f t="shared" si="26"/>
        <v>0</v>
      </c>
      <c r="X268" s="85">
        <f t="shared" si="23"/>
        <v>0</v>
      </c>
      <c r="Y268" s="21">
        <f t="shared" si="24"/>
        <v>2.2095108020675703E-2</v>
      </c>
      <c r="AA268" s="55">
        <f t="shared" si="27"/>
        <v>40540.689999999988</v>
      </c>
      <c r="AB268" s="55">
        <f t="shared" si="28"/>
        <v>-0.51000000000931323</v>
      </c>
      <c r="AC268" s="55">
        <f t="shared" si="25"/>
        <v>1834826.5128219179</v>
      </c>
    </row>
    <row r="269" spans="1:29">
      <c r="A269" t="s">
        <v>31</v>
      </c>
      <c r="B269" s="16" t="str">
        <f>INDEX(emprunts!C:C,MATCH($A269,emprunts!A:A,0))</f>
        <v>CDC</v>
      </c>
      <c r="C269" s="18">
        <f>INDEX(emprunts!M:M,MATCH($A269,emprunts!$A:$A,0))</f>
        <v>37347</v>
      </c>
      <c r="D269" s="18">
        <f>IF(INDEX(emprunts!O:O,MATCH($A269,emprunts!$A:$A,0))="",INDEX(emprunts!N:N,MATCH($A269,emprunts!$A:$A,0)),MIN(INDEX(emprunts!N:N,MATCH($A269,emprunts!$A:$A,0)),INDEX(emprunts!O:O,MATCH($A269,emprunts!$A:$A,0))))</f>
        <v>44652</v>
      </c>
      <c r="E269" s="52">
        <f>INDEX(emprunts!I:I,MATCH($A269,emprunts!$A:$A,0))</f>
        <v>20</v>
      </c>
      <c r="F269" s="18" t="str">
        <f>INDEX(emprunts!P:P,MATCH($A269,emprunts!$A:$A,0))</f>
        <v>Livret A</v>
      </c>
      <c r="G269" s="126" t="str">
        <f>IF(LEFT(A269,3)="vx_","vx",INDEX(Categorie,MATCH($A269,emprunts!$A$2:$A$149,0)))</f>
        <v>Livr_A</v>
      </c>
      <c r="H269">
        <v>2006</v>
      </c>
      <c r="I269">
        <f t="shared" si="22"/>
        <v>1</v>
      </c>
      <c r="N269"/>
      <c r="O269" s="58"/>
      <c r="Q269" s="14"/>
      <c r="R269" s="14"/>
      <c r="S269" s="14"/>
      <c r="T269" s="14"/>
      <c r="U269" s="14"/>
      <c r="V269" s="14" t="str">
        <f t="shared" si="26"/>
        <v/>
      </c>
      <c r="X269" s="85">
        <f t="shared" si="23"/>
        <v>0</v>
      </c>
      <c r="Y269" s="21" t="str">
        <f t="shared" si="24"/>
        <v/>
      </c>
      <c r="AA269" s="55">
        <f t="shared" si="27"/>
        <v>0</v>
      </c>
      <c r="AB269" s="55">
        <f t="shared" si="28"/>
        <v>0</v>
      </c>
      <c r="AC269" s="55">
        <f t="shared" si="25"/>
        <v>0</v>
      </c>
    </row>
    <row r="270" spans="1:29">
      <c r="A270" t="s">
        <v>33</v>
      </c>
      <c r="B270" s="16" t="str">
        <f>INDEX(emprunts!C:C,MATCH($A270,emprunts!A:A,0))</f>
        <v>Crédit Agricole</v>
      </c>
      <c r="C270" s="18">
        <f>INDEX(emprunts!M:M,MATCH($A270,emprunts!$A:$A,0))</f>
        <v>37361</v>
      </c>
      <c r="D270" s="18">
        <f>IF(INDEX(emprunts!O:O,MATCH($A270,emprunts!$A:$A,0))="",INDEX(emprunts!N:N,MATCH($A270,emprunts!$A:$A,0)),MIN(INDEX(emprunts!N:N,MATCH($A270,emprunts!$A:$A,0)),INDEX(emprunts!O:O,MATCH($A270,emprunts!$A:$A,0))))</f>
        <v>42843</v>
      </c>
      <c r="E270" s="52">
        <f>INDEX(emprunts!I:I,MATCH($A270,emprunts!$A:$A,0))</f>
        <v>15</v>
      </c>
      <c r="F270" s="18" t="str">
        <f>INDEX(emprunts!P:P,MATCH($A270,emprunts!$A:$A,0))</f>
        <v>Barrière hors zone EUR</v>
      </c>
      <c r="G270" s="126" t="str">
        <f>IF(LEFT(A270,3)="vx_","vx",INDEX(Categorie,MATCH($A270,emprunts!$A$2:$A$149,0)))</f>
        <v>Struct</v>
      </c>
      <c r="H270">
        <v>2006</v>
      </c>
      <c r="I270">
        <f t="shared" si="22"/>
        <v>1</v>
      </c>
      <c r="K270" t="s">
        <v>155</v>
      </c>
      <c r="L270" s="5">
        <v>37726</v>
      </c>
      <c r="M270" s="5">
        <v>37726</v>
      </c>
      <c r="N270" s="14">
        <v>13097112.84</v>
      </c>
      <c r="O270" s="58">
        <v>10236183</v>
      </c>
      <c r="P270" s="4">
        <v>3.8553999999999998E-2</v>
      </c>
      <c r="Q270" s="14">
        <v>281272.55</v>
      </c>
      <c r="R270" s="14">
        <v>752551.99</v>
      </c>
      <c r="S270" s="14"/>
      <c r="T270" s="14">
        <v>277684.90999999997</v>
      </c>
      <c r="U270" s="14">
        <f>SUM(Q270:S270)</f>
        <v>1033824.54</v>
      </c>
      <c r="V270" s="14">
        <f t="shared" si="26"/>
        <v>0</v>
      </c>
      <c r="X270" s="85">
        <f t="shared" si="23"/>
        <v>0</v>
      </c>
      <c r="Y270" s="21">
        <f t="shared" si="24"/>
        <v>3.1450355330082599E-2</v>
      </c>
      <c r="AA270" s="55">
        <f t="shared" si="27"/>
        <v>332851.17999999993</v>
      </c>
      <c r="AB270" s="55">
        <f t="shared" si="28"/>
        <v>-9.9999997764825821E-3</v>
      </c>
      <c r="AC270" s="55">
        <f t="shared" si="25"/>
        <v>10583383.764876712</v>
      </c>
    </row>
    <row r="271" spans="1:29">
      <c r="A271" t="s">
        <v>43</v>
      </c>
      <c r="B271" s="16" t="str">
        <f>INDEX(emprunts!C:C,MATCH($A271,emprunts!A:A,0))</f>
        <v>Dexia CL</v>
      </c>
      <c r="C271" s="18">
        <f>INDEX(emprunts!M:M,MATCH($A271,emprunts!$A:$A,0))</f>
        <v>37377</v>
      </c>
      <c r="D271" s="18">
        <f>IF(INDEX(emprunts!O:O,MATCH($A271,emprunts!$A:$A,0))="",INDEX(emprunts!N:N,MATCH($A271,emprunts!$A:$A,0)),MIN(INDEX(emprunts!N:N,MATCH($A271,emprunts!$A:$A,0)),INDEX(emprunts!O:O,MATCH($A271,emprunts!$A:$A,0))))</f>
        <v>38534</v>
      </c>
      <c r="E271" s="52">
        <f>INDEX(emprunts!I:I,MATCH($A271,emprunts!$A:$A,0))</f>
        <v>19.25</v>
      </c>
      <c r="F271" s="18" t="str">
        <f>INDEX(emprunts!P:P,MATCH($A271,emprunts!$A:$A,0))</f>
        <v>Barrière hors zone EUR</v>
      </c>
      <c r="G271" s="126" t="str">
        <f>IF(LEFT(A271,3)="vx_","vx",INDEX(Categorie,MATCH($A271,emprunts!$A$2:$A$149,0)))</f>
        <v>Struct</v>
      </c>
      <c r="H271">
        <v>2006</v>
      </c>
      <c r="I271">
        <f t="shared" si="22"/>
        <v>1</v>
      </c>
      <c r="N271"/>
      <c r="O271" s="58"/>
      <c r="Q271" s="14"/>
      <c r="R271" s="14"/>
      <c r="S271" s="14"/>
      <c r="T271" s="14"/>
      <c r="U271" s="14"/>
      <c r="V271" s="14" t="str">
        <f t="shared" si="26"/>
        <v/>
      </c>
      <c r="X271" s="85">
        <f t="shared" si="23"/>
        <v>0</v>
      </c>
      <c r="Y271" s="21" t="str">
        <f t="shared" si="24"/>
        <v/>
      </c>
      <c r="AA271" s="55">
        <f t="shared" si="27"/>
        <v>0</v>
      </c>
      <c r="AB271" s="55">
        <f t="shared" si="28"/>
        <v>0</v>
      </c>
      <c r="AC271" s="55">
        <f t="shared" si="25"/>
        <v>0</v>
      </c>
    </row>
    <row r="272" spans="1:29">
      <c r="A272" t="s">
        <v>59</v>
      </c>
      <c r="B272" s="16" t="str">
        <f>INDEX(emprunts!C:C,MATCH($A272,emprunts!A:A,0))</f>
        <v>CDC</v>
      </c>
      <c r="C272" s="18">
        <f>INDEX(emprunts!M:M,MATCH($A272,emprunts!$A:$A,0))</f>
        <v>37621</v>
      </c>
      <c r="D272" s="18">
        <f>IF(INDEX(emprunts!O:O,MATCH($A272,emprunts!$A:$A,0))="",INDEX(emprunts!N:N,MATCH($A272,emprunts!$A:$A,0)),MIN(INDEX(emprunts!N:N,MATCH($A272,emprunts!$A:$A,0)),INDEX(emprunts!O:O,MATCH($A272,emprunts!$A:$A,0))))</f>
        <v>44927</v>
      </c>
      <c r="E272" s="52">
        <f>INDEX(emprunts!I:I,MATCH($A272,emprunts!$A:$A,0))</f>
        <v>20</v>
      </c>
      <c r="F272" s="18" t="str">
        <f>INDEX(emprunts!P:P,MATCH($A272,emprunts!$A:$A,0))</f>
        <v>Livret A</v>
      </c>
      <c r="G272" s="126" t="str">
        <f>IF(LEFT(A272,3)="vx_","vx",INDEX(Categorie,MATCH($A272,emprunts!$A$2:$A$149,0)))</f>
        <v>Livr_A</v>
      </c>
      <c r="H272">
        <v>2006</v>
      </c>
      <c r="I272">
        <f t="shared" si="22"/>
        <v>1</v>
      </c>
      <c r="N272" s="58"/>
      <c r="O272" s="58">
        <v>3705039</v>
      </c>
      <c r="P272" s="4">
        <v>3.2000000000000001E-2</v>
      </c>
      <c r="Q272" s="14">
        <v>133875.68</v>
      </c>
      <c r="R272" s="14">
        <v>175415.67</v>
      </c>
      <c r="S272" s="14"/>
      <c r="T272" s="14">
        <v>118236.41</v>
      </c>
      <c r="U272" s="14">
        <f t="shared" ref="U272:U273" si="30">SUM(Q272:S272)</f>
        <v>309291.34999999998</v>
      </c>
      <c r="V272" s="14">
        <f t="shared" si="26"/>
        <v>0</v>
      </c>
      <c r="X272" s="85">
        <f t="shared" si="23"/>
        <v>0</v>
      </c>
      <c r="Y272" s="21">
        <f t="shared" si="24"/>
        <v>3.135696320199037E-2</v>
      </c>
      <c r="AA272" s="55">
        <f t="shared" si="27"/>
        <v>118603.19</v>
      </c>
      <c r="AB272" s="55">
        <f t="shared" si="28"/>
        <v>-0.33000000007450581</v>
      </c>
      <c r="AC272" s="55">
        <f t="shared" si="25"/>
        <v>3782355.7477808218</v>
      </c>
    </row>
    <row r="273" spans="1:29">
      <c r="A273" t="s">
        <v>60</v>
      </c>
      <c r="B273" s="16" t="str">
        <f>INDEX(emprunts!C:C,MATCH($A273,emprunts!A:A,0))</f>
        <v>Dexia CL</v>
      </c>
      <c r="C273" s="18">
        <f>INDEX(emprunts!M:M,MATCH($A273,emprunts!$A:$A,0))</f>
        <v>37622</v>
      </c>
      <c r="D273" s="18">
        <f>IF(INDEX(emprunts!O:O,MATCH($A273,emprunts!$A:$A,0))="",INDEX(emprunts!N:N,MATCH($A273,emprunts!$A:$A,0)),MIN(INDEX(emprunts!N:N,MATCH($A273,emprunts!$A:$A,0)),INDEX(emprunts!O:O,MATCH($A273,emprunts!$A:$A,0))))</f>
        <v>39350</v>
      </c>
      <c r="E273" s="52">
        <f>INDEX(emprunts!I:I,MATCH($A273,emprunts!$A:$A,0))</f>
        <v>14</v>
      </c>
      <c r="F273" s="18" t="str">
        <f>INDEX(emprunts!P:P,MATCH($A273,emprunts!$A:$A,0))</f>
        <v>Barrière hors zone EUR</v>
      </c>
      <c r="G273" s="126" t="str">
        <f>IF(LEFT(A273,3)="vx_","vx",INDEX(Categorie,MATCH($A273,emprunts!$A$2:$A$149,0)))</f>
        <v>Struct</v>
      </c>
      <c r="H273">
        <v>2006</v>
      </c>
      <c r="I273">
        <f t="shared" si="22"/>
        <v>1</v>
      </c>
      <c r="N273" s="58"/>
      <c r="O273" s="58">
        <v>10113494</v>
      </c>
      <c r="P273" s="4">
        <v>3.9385999999999997E-2</v>
      </c>
      <c r="Q273" s="14">
        <v>300297.3</v>
      </c>
      <c r="R273" s="14">
        <v>637273.54</v>
      </c>
      <c r="S273" s="14"/>
      <c r="T273" s="14">
        <v>396968.11</v>
      </c>
      <c r="U273" s="14">
        <f t="shared" si="30"/>
        <v>937570.84000000008</v>
      </c>
      <c r="V273" s="14">
        <f t="shared" si="26"/>
        <v>0</v>
      </c>
      <c r="X273" s="85">
        <f t="shared" si="23"/>
        <v>0</v>
      </c>
      <c r="Y273" s="21">
        <f t="shared" si="24"/>
        <v>3.7910983803679889E-2</v>
      </c>
      <c r="AA273" s="55">
        <f t="shared" si="27"/>
        <v>394408.79999999993</v>
      </c>
      <c r="AB273" s="55">
        <f t="shared" si="28"/>
        <v>0.53999999910593033</v>
      </c>
      <c r="AC273" s="55">
        <f t="shared" si="25"/>
        <v>10403549.589808218</v>
      </c>
    </row>
    <row r="274" spans="1:29">
      <c r="A274" t="s">
        <v>64</v>
      </c>
      <c r="B274" s="16" t="str">
        <f>INDEX(emprunts!C:C,MATCH($A274,emprunts!A:A,0))</f>
        <v>Dexia CL</v>
      </c>
      <c r="C274" s="18">
        <f>INDEX(emprunts!M:M,MATCH($A274,emprunts!$A:$A,0))</f>
        <v>37681</v>
      </c>
      <c r="D274" s="18">
        <f>IF(INDEX(emprunts!O:O,MATCH($A274,emprunts!$A:$A,0))="",INDEX(emprunts!N:N,MATCH($A274,emprunts!$A:$A,0)),MIN(INDEX(emprunts!N:N,MATCH($A274,emprunts!$A:$A,0)),INDEX(emprunts!O:O,MATCH($A274,emprunts!$A:$A,0))))</f>
        <v>38443</v>
      </c>
      <c r="E274" s="52">
        <f>INDEX(emprunts!I:I,MATCH($A274,emprunts!$A:$A,0))</f>
        <v>15</v>
      </c>
      <c r="F274" s="18" t="str">
        <f>INDEX(emprunts!P:P,MATCH($A274,emprunts!$A:$A,0))</f>
        <v>Barrière</v>
      </c>
      <c r="G274" s="126" t="str">
        <f>IF(LEFT(A274,3)="vx_","vx",INDEX(Categorie,MATCH($A274,emprunts!$A$2:$A$149,0)))</f>
        <v>Struct</v>
      </c>
      <c r="H274">
        <v>2006</v>
      </c>
      <c r="I274">
        <f t="shared" si="22"/>
        <v>1</v>
      </c>
      <c r="N274" s="58"/>
      <c r="O274" s="58"/>
      <c r="Q274" s="14"/>
      <c r="R274" s="14"/>
      <c r="S274" s="14"/>
      <c r="T274" s="14"/>
      <c r="U274" s="14"/>
      <c r="V274" s="14" t="str">
        <f t="shared" si="26"/>
        <v/>
      </c>
      <c r="X274" s="85">
        <f t="shared" si="23"/>
        <v>0</v>
      </c>
      <c r="Y274" s="21" t="str">
        <f t="shared" si="24"/>
        <v/>
      </c>
      <c r="AA274" s="55">
        <f t="shared" si="27"/>
        <v>0</v>
      </c>
      <c r="AB274" s="55">
        <f t="shared" si="28"/>
        <v>0</v>
      </c>
      <c r="AC274" s="55">
        <f t="shared" si="25"/>
        <v>0</v>
      </c>
    </row>
    <row r="275" spans="1:29">
      <c r="A275" t="s">
        <v>71</v>
      </c>
      <c r="B275" s="16" t="str">
        <f>INDEX(emprunts!C:C,MATCH($A275,emprunts!A:A,0))</f>
        <v>Dexia CL</v>
      </c>
      <c r="C275" s="18">
        <f>INDEX(emprunts!M:M,MATCH($A275,emprunts!$A:$A,0))</f>
        <v>37742</v>
      </c>
      <c r="D275" s="18">
        <f>IF(INDEX(emprunts!O:O,MATCH($A275,emprunts!$A:$A,0))="",INDEX(emprunts!N:N,MATCH($A275,emprunts!$A:$A,0)),MIN(INDEX(emprunts!N:N,MATCH($A275,emprunts!$A:$A,0)),INDEX(emprunts!O:O,MATCH($A275,emprunts!$A:$A,0))))</f>
        <v>38443</v>
      </c>
      <c r="E275" s="52">
        <f>INDEX(emprunts!I:I,MATCH($A275,emprunts!$A:$A,0))</f>
        <v>8</v>
      </c>
      <c r="F275" s="18" t="str">
        <f>INDEX(emprunts!P:P,MATCH($A275,emprunts!$A:$A,0))</f>
        <v>Barrière</v>
      </c>
      <c r="G275" s="126" t="str">
        <f>IF(LEFT(A275,3)="vx_","vx",INDEX(Categorie,MATCH($A275,emprunts!$A$2:$A$149,0)))</f>
        <v>Struct</v>
      </c>
      <c r="H275">
        <v>2006</v>
      </c>
      <c r="I275">
        <f t="shared" si="22"/>
        <v>1</v>
      </c>
      <c r="N275" s="58"/>
      <c r="O275" s="58"/>
      <c r="Q275" s="14"/>
      <c r="R275" s="14"/>
      <c r="S275" s="14"/>
      <c r="T275" s="14"/>
      <c r="U275" s="14"/>
      <c r="V275" s="14" t="str">
        <f t="shared" si="26"/>
        <v/>
      </c>
      <c r="X275" s="85">
        <f t="shared" si="23"/>
        <v>0</v>
      </c>
      <c r="Y275" s="21" t="str">
        <f t="shared" si="24"/>
        <v/>
      </c>
      <c r="AA275" s="55">
        <f t="shared" si="27"/>
        <v>-9</v>
      </c>
      <c r="AB275" s="55">
        <f t="shared" si="28"/>
        <v>0</v>
      </c>
      <c r="AC275" s="55">
        <f t="shared" si="25"/>
        <v>0</v>
      </c>
    </row>
    <row r="276" spans="1:29">
      <c r="A276" t="s">
        <v>72</v>
      </c>
      <c r="B276" s="16" t="str">
        <f>INDEX(emprunts!C:C,MATCH($A276,emprunts!A:A,0))</f>
        <v>Dexia CL</v>
      </c>
      <c r="C276" s="18">
        <f>INDEX(emprunts!M:M,MATCH($A276,emprunts!$A:$A,0))</f>
        <v>37756</v>
      </c>
      <c r="D276" s="18">
        <f>IF(INDEX(emprunts!O:O,MATCH($A276,emprunts!$A:$A,0))="",INDEX(emprunts!N:N,MATCH($A276,emprunts!$A:$A,0)),MIN(INDEX(emprunts!N:N,MATCH($A276,emprunts!$A:$A,0)),INDEX(emprunts!O:O,MATCH($A276,emprunts!$A:$A,0))))</f>
        <v>39539</v>
      </c>
      <c r="E276" s="52">
        <f>INDEX(emprunts!I:I,MATCH($A276,emprunts!$A:$A,0))</f>
        <v>20</v>
      </c>
      <c r="F276" s="18" t="str">
        <f>INDEX(emprunts!P:P,MATCH($A276,emprunts!$A:$A,0))</f>
        <v>Barrière hors zone EUR</v>
      </c>
      <c r="G276" s="126" t="str">
        <f>IF(LEFT(A276,3)="vx_","vx",INDEX(Categorie,MATCH($A276,emprunts!$A$2:$A$149,0)))</f>
        <v>Struct</v>
      </c>
      <c r="H276">
        <v>2006</v>
      </c>
      <c r="I276">
        <f t="shared" si="22"/>
        <v>1</v>
      </c>
      <c r="N276" s="58"/>
      <c r="O276" s="58">
        <v>10343514</v>
      </c>
      <c r="P276" s="4">
        <v>4.0076000000000001E-2</v>
      </c>
      <c r="Q276" s="14">
        <v>424028.63</v>
      </c>
      <c r="R276" s="14">
        <v>244334.4</v>
      </c>
      <c r="S276" s="14"/>
      <c r="T276" s="14">
        <v>377926.14</v>
      </c>
      <c r="U276" s="14">
        <f>SUM(Q276:S276)</f>
        <v>668363.03</v>
      </c>
      <c r="V276" s="14">
        <f t="shared" si="26"/>
        <v>0</v>
      </c>
      <c r="X276" s="85">
        <f t="shared" si="23"/>
        <v>0</v>
      </c>
      <c r="Y276" s="21">
        <f t="shared" si="24"/>
        <v>3.9772054020664277E-2</v>
      </c>
      <c r="AA276" s="55">
        <f t="shared" si="27"/>
        <v>415101.25</v>
      </c>
      <c r="AB276" s="55">
        <f t="shared" si="28"/>
        <v>0.40000000037252903</v>
      </c>
      <c r="AC276" s="55">
        <f t="shared" si="25"/>
        <v>10437008.100821918</v>
      </c>
    </row>
    <row r="277" spans="1:29">
      <c r="A277" t="s">
        <v>78</v>
      </c>
      <c r="B277" s="16" t="str">
        <f>INDEX(emprunts!C:C,MATCH($A277,emprunts!A:A,0))</f>
        <v>Dexia CL</v>
      </c>
      <c r="C277" s="18">
        <f>INDEX(emprunts!M:M,MATCH($A277,emprunts!$A:$A,0))</f>
        <v>37772</v>
      </c>
      <c r="D277" s="18">
        <f>IF(INDEX(emprunts!O:O,MATCH($A277,emprunts!$A:$A,0))="",INDEX(emprunts!N:N,MATCH($A277,emprunts!$A:$A,0)),MIN(INDEX(emprunts!N:N,MATCH($A277,emprunts!$A:$A,0)),INDEX(emprunts!O:O,MATCH($A277,emprunts!$A:$A,0))))</f>
        <v>38443</v>
      </c>
      <c r="E277" s="52">
        <f>INDEX(emprunts!I:I,MATCH($A277,emprunts!$A:$A,0))</f>
        <v>20</v>
      </c>
      <c r="F277" s="18" t="str">
        <f>INDEX(emprunts!P:P,MATCH($A277,emprunts!$A:$A,0))</f>
        <v>Barrière</v>
      </c>
      <c r="G277" s="126" t="str">
        <f>IF(LEFT(A277,3)="vx_","vx",INDEX(Categorie,MATCH($A277,emprunts!$A$2:$A$149,0)))</f>
        <v>Struct</v>
      </c>
      <c r="H277">
        <v>2006</v>
      </c>
      <c r="I277">
        <f t="shared" si="22"/>
        <v>1</v>
      </c>
      <c r="N277" s="58"/>
      <c r="O277" s="58"/>
      <c r="Q277" s="14"/>
      <c r="R277" s="14"/>
      <c r="S277" s="14"/>
      <c r="T277" s="14"/>
      <c r="U277" s="14"/>
      <c r="V277" s="14" t="str">
        <f t="shared" si="26"/>
        <v/>
      </c>
      <c r="X277" s="85">
        <f t="shared" si="23"/>
        <v>0</v>
      </c>
      <c r="Y277" s="21" t="str">
        <f t="shared" si="24"/>
        <v/>
      </c>
      <c r="AA277" s="55">
        <f t="shared" si="27"/>
        <v>0</v>
      </c>
      <c r="AB277" s="55">
        <f t="shared" si="28"/>
        <v>0</v>
      </c>
      <c r="AC277" s="55">
        <f t="shared" si="25"/>
        <v>0</v>
      </c>
    </row>
    <row r="278" spans="1:29">
      <c r="A278" t="s">
        <v>79</v>
      </c>
      <c r="B278" s="16" t="str">
        <f>INDEX(emprunts!C:C,MATCH($A278,emprunts!A:A,0))</f>
        <v>Caisse d'Épargne</v>
      </c>
      <c r="C278" s="18">
        <f>INDEX(emprunts!M:M,MATCH($A278,emprunts!$A:$A,0))</f>
        <v>37803</v>
      </c>
      <c r="D278" s="18">
        <f>IF(INDEX(emprunts!O:O,MATCH($A278,emprunts!$A:$A,0))="",INDEX(emprunts!N:N,MATCH($A278,emprunts!$A:$A,0)),MIN(INDEX(emprunts!N:N,MATCH($A278,emprunts!$A:$A,0)),INDEX(emprunts!O:O,MATCH($A278,emprunts!$A:$A,0))))</f>
        <v>38773</v>
      </c>
      <c r="E278" s="52">
        <f>INDEX(emprunts!I:I,MATCH($A278,emprunts!$A:$A,0))</f>
        <v>20</v>
      </c>
      <c r="F278" s="18" t="str">
        <f>INDEX(emprunts!P:P,MATCH($A278,emprunts!$A:$A,0))</f>
        <v>Barrière hors zone EUR</v>
      </c>
      <c r="G278" s="126" t="str">
        <f>IF(LEFT(A278,3)="vx_","vx",INDEX(Categorie,MATCH($A278,emprunts!$A$2:$A$149,0)))</f>
        <v>Struct</v>
      </c>
      <c r="H278">
        <v>2006</v>
      </c>
      <c r="I278">
        <f t="shared" si="22"/>
        <v>1</v>
      </c>
      <c r="N278" s="58"/>
      <c r="O278" s="58">
        <v>0</v>
      </c>
      <c r="P278" s="4">
        <v>3.2899999999999999E-2</v>
      </c>
      <c r="Q278" s="14">
        <v>17047.21</v>
      </c>
      <c r="R278" s="14">
        <v>0</v>
      </c>
      <c r="S278" s="14"/>
      <c r="T278" s="14">
        <v>0</v>
      </c>
      <c r="U278" s="14">
        <f>SUM(Q278:S278)</f>
        <v>17047.21</v>
      </c>
      <c r="V278" s="14">
        <f t="shared" si="26"/>
        <v>0</v>
      </c>
      <c r="X278" s="85">
        <f t="shared" si="23"/>
        <v>780000</v>
      </c>
      <c r="Y278" s="21">
        <f t="shared" si="24"/>
        <v>3.3984392773892771E-2</v>
      </c>
      <c r="AA278" s="55">
        <f t="shared" si="27"/>
        <v>3994.33</v>
      </c>
      <c r="AB278" s="55">
        <f t="shared" si="28"/>
        <v>-480</v>
      </c>
      <c r="AC278" s="55">
        <f t="shared" si="25"/>
        <v>117534.24657534246</v>
      </c>
    </row>
    <row r="279" spans="1:29">
      <c r="A279" t="s">
        <v>84</v>
      </c>
      <c r="B279" s="16" t="str">
        <f>INDEX(emprunts!C:C,MATCH($A279,emprunts!A:A,0))</f>
        <v>Caisse d'Épargne</v>
      </c>
      <c r="C279" s="18">
        <f>INDEX(emprunts!M:M,MATCH($A279,emprunts!$A:$A,0))</f>
        <v>37865</v>
      </c>
      <c r="D279" s="18">
        <f>IF(INDEX(emprunts!O:O,MATCH($A279,emprunts!$A:$A,0))="",INDEX(emprunts!N:N,MATCH($A279,emprunts!$A:$A,0)),MIN(INDEX(emprunts!N:N,MATCH($A279,emprunts!$A:$A,0)),INDEX(emprunts!O:O,MATCH($A279,emprunts!$A:$A,0))))</f>
        <v>38961</v>
      </c>
      <c r="E279" s="52">
        <f>INDEX(emprunts!I:I,MATCH($A279,emprunts!$A:$A,0))</f>
        <v>3</v>
      </c>
      <c r="F279" s="18" t="str">
        <f>INDEX(emprunts!P:P,MATCH($A279,emprunts!$A:$A,0))</f>
        <v>Fixe</v>
      </c>
      <c r="G279" s="126" t="str">
        <f>IF(LEFT(A279,3)="vx_","vx",INDEX(Categorie,MATCH($A279,emprunts!$A$2:$A$149,0)))</f>
        <v>Non_st</v>
      </c>
      <c r="H279">
        <v>2006</v>
      </c>
      <c r="I279">
        <f t="shared" si="22"/>
        <v>1</v>
      </c>
      <c r="N279" s="58"/>
      <c r="O279" s="58">
        <v>0</v>
      </c>
      <c r="Q279" s="14">
        <v>3012.43</v>
      </c>
      <c r="R279" s="14">
        <v>247645.31</v>
      </c>
      <c r="S279" s="14"/>
      <c r="T279" s="14">
        <v>0</v>
      </c>
      <c r="U279" s="14">
        <f>SUM(Q279:T279)</f>
        <v>250657.74</v>
      </c>
      <c r="V279" s="14">
        <f t="shared" si="26"/>
        <v>0</v>
      </c>
      <c r="X279" s="85">
        <f t="shared" si="23"/>
        <v>0</v>
      </c>
      <c r="Y279" s="21">
        <f t="shared" si="24"/>
        <v>2.9492927547003348E-2</v>
      </c>
      <c r="AA279" s="55">
        <f t="shared" si="27"/>
        <v>2431.2599999999998</v>
      </c>
      <c r="AB279" s="55">
        <f t="shared" si="28"/>
        <v>0.30999999999767169</v>
      </c>
      <c r="AC279" s="55">
        <f t="shared" si="25"/>
        <v>82435.356616438366</v>
      </c>
    </row>
    <row r="280" spans="1:29">
      <c r="A280" t="s">
        <v>86</v>
      </c>
      <c r="B280" s="16" t="str">
        <f>INDEX(emprunts!C:C,MATCH($A280,emprunts!A:A,0))</f>
        <v>Caisse d'Épargne</v>
      </c>
      <c r="C280" s="18">
        <f>INDEX(emprunts!M:M,MATCH($A280,emprunts!$A:$A,0))</f>
        <v>38022</v>
      </c>
      <c r="D280" s="18">
        <f>IF(INDEX(emprunts!O:O,MATCH($A280,emprunts!$A:$A,0))="",INDEX(emprunts!N:N,MATCH($A280,emprunts!$A:$A,0)),MIN(INDEX(emprunts!N:N,MATCH($A280,emprunts!$A:$A,0)),INDEX(emprunts!O:O,MATCH($A280,emprunts!$A:$A,0))))</f>
        <v>40719</v>
      </c>
      <c r="E280" s="52">
        <f>INDEX(emprunts!I:I,MATCH($A280,emprunts!$A:$A,0))</f>
        <v>7</v>
      </c>
      <c r="F280" s="18" t="str">
        <f>INDEX(emprunts!P:P,MATCH($A280,emprunts!$A:$A,0))</f>
        <v>Fixe</v>
      </c>
      <c r="G280" s="126" t="str">
        <f>IF(LEFT(A280,3)="vx_","vx",INDEX(Categorie,MATCH($A280,emprunts!$A$2:$A$149,0)))</f>
        <v>Non_st</v>
      </c>
      <c r="H280">
        <v>2006</v>
      </c>
      <c r="I280">
        <f t="shared" si="22"/>
        <v>1</v>
      </c>
      <c r="N280" s="58"/>
      <c r="O280" s="58">
        <v>2786347</v>
      </c>
      <c r="P280" s="4">
        <v>3.7999999999999999E-2</v>
      </c>
      <c r="Q280" s="14">
        <v>124789.49</v>
      </c>
      <c r="R280" s="14">
        <v>497587.20000000001</v>
      </c>
      <c r="S280" s="14"/>
      <c r="T280" s="14">
        <v>54826.15</v>
      </c>
      <c r="U280" s="14">
        <f t="shared" ref="U280:U281" si="31">SUM(Q280:S280)</f>
        <v>622376.69000000006</v>
      </c>
      <c r="V280" s="14">
        <f t="shared" si="26"/>
        <v>0</v>
      </c>
      <c r="X280" s="85">
        <f t="shared" si="23"/>
        <v>0</v>
      </c>
      <c r="Y280" s="21">
        <f t="shared" si="24"/>
        <v>3.799314940293879E-2</v>
      </c>
      <c r="AA280" s="55">
        <f t="shared" si="27"/>
        <v>114998.62000000002</v>
      </c>
      <c r="AB280" s="55">
        <f t="shared" si="28"/>
        <v>0.20000000018626451</v>
      </c>
      <c r="AC280" s="55">
        <f t="shared" si="25"/>
        <v>3026825.1463013701</v>
      </c>
    </row>
    <row r="281" spans="1:29">
      <c r="A281" t="s">
        <v>88</v>
      </c>
      <c r="B281" s="16" t="str">
        <f>INDEX(emprunts!C:C,MATCH($A281,emprunts!A:A,0))</f>
        <v>Dexia CL</v>
      </c>
      <c r="C281" s="18">
        <f>INDEX(emprunts!M:M,MATCH($A281,emprunts!$A:$A,0))</f>
        <v>38077</v>
      </c>
      <c r="D281" s="18">
        <f>IF(INDEX(emprunts!O:O,MATCH($A281,emprunts!$A:$A,0))="",INDEX(emprunts!N:N,MATCH($A281,emprunts!$A:$A,0)),MIN(INDEX(emprunts!N:N,MATCH($A281,emprunts!$A:$A,0)),INDEX(emprunts!O:O,MATCH($A281,emprunts!$A:$A,0))))</f>
        <v>39173</v>
      </c>
      <c r="E281" s="52">
        <f>INDEX(emprunts!I:I,MATCH($A281,emprunts!$A:$A,0))</f>
        <v>3</v>
      </c>
      <c r="F281" s="18" t="str">
        <f>INDEX(emprunts!P:P,MATCH($A281,emprunts!$A:$A,0))</f>
        <v>Fixe</v>
      </c>
      <c r="G281" s="126" t="str">
        <f>IF(LEFT(A281,3)="vx_","vx",INDEX(Categorie,MATCH($A281,emprunts!$A$2:$A$149,0)))</f>
        <v>Non_st</v>
      </c>
      <c r="H281">
        <v>2006</v>
      </c>
      <c r="I281">
        <f t="shared" si="22"/>
        <v>1</v>
      </c>
      <c r="N281" s="58"/>
      <c r="O281" s="58">
        <v>59298</v>
      </c>
      <c r="P281" s="4">
        <v>2.7300000000000001E-2</v>
      </c>
      <c r="Q281" s="14">
        <v>4246.57</v>
      </c>
      <c r="R281" s="14">
        <v>59298.12</v>
      </c>
      <c r="S281" s="14"/>
      <c r="T281" s="14">
        <v>1218.58</v>
      </c>
      <c r="U281" s="14">
        <f t="shared" si="31"/>
        <v>63544.69</v>
      </c>
      <c r="V281" s="14">
        <f t="shared" si="26"/>
        <v>0</v>
      </c>
      <c r="X281" s="85">
        <f t="shared" si="23"/>
        <v>0</v>
      </c>
      <c r="Y281" s="21">
        <f t="shared" si="24"/>
        <v>3.4136245552339572E-2</v>
      </c>
      <c r="AA281" s="55">
        <f t="shared" si="27"/>
        <v>3027.9999999999995</v>
      </c>
      <c r="AB281" s="55">
        <f t="shared" si="28"/>
        <v>0.11999999999534339</v>
      </c>
      <c r="AC281" s="55">
        <f t="shared" si="25"/>
        <v>88703.369424657532</v>
      </c>
    </row>
    <row r="282" spans="1:29">
      <c r="A282" t="s">
        <v>90</v>
      </c>
      <c r="B282" s="16" t="str">
        <f>INDEX(emprunts!C:C,MATCH($A282,emprunts!A:A,0))</f>
        <v>Dexia CL</v>
      </c>
      <c r="C282" s="18">
        <f>INDEX(emprunts!M:M,MATCH($A282,emprunts!$A:$A,0))</f>
        <v>38087</v>
      </c>
      <c r="D282" s="18">
        <f>IF(INDEX(emprunts!O:O,MATCH($A282,emprunts!$A:$A,0))="",INDEX(emprunts!N:N,MATCH($A282,emprunts!$A:$A,0)),MIN(INDEX(emprunts!N:N,MATCH($A282,emprunts!$A:$A,0)),INDEX(emprunts!O:O,MATCH($A282,emprunts!$A:$A,0))))</f>
        <v>38687</v>
      </c>
      <c r="E282" s="52">
        <f>INDEX(emprunts!I:I,MATCH($A282,emprunts!$A:$A,0))</f>
        <v>17.75</v>
      </c>
      <c r="F282" s="18" t="str">
        <f>INDEX(emprunts!P:P,MATCH($A282,emprunts!$A:$A,0))</f>
        <v>Barrière avec multiplicateur</v>
      </c>
      <c r="G282" s="126" t="str">
        <f>IF(LEFT(A282,3)="vx_","vx",INDEX(Categorie,MATCH($A282,emprunts!$A$2:$A$149,0)))</f>
        <v>Struct</v>
      </c>
      <c r="H282">
        <v>2006</v>
      </c>
      <c r="I282">
        <f t="shared" si="22"/>
        <v>1</v>
      </c>
      <c r="N282" s="58"/>
      <c r="O282" s="58"/>
      <c r="Q282" s="14"/>
      <c r="R282" s="14"/>
      <c r="S282" s="14"/>
      <c r="T282" s="14"/>
      <c r="U282" s="14"/>
      <c r="V282" s="14" t="str">
        <f t="shared" si="26"/>
        <v/>
      </c>
      <c r="X282" s="85">
        <f t="shared" si="23"/>
        <v>0</v>
      </c>
      <c r="Y282" s="21" t="str">
        <f t="shared" si="24"/>
        <v/>
      </c>
      <c r="AA282" s="55">
        <f t="shared" si="27"/>
        <v>0</v>
      </c>
      <c r="AB282" s="55">
        <f t="shared" si="28"/>
        <v>0</v>
      </c>
      <c r="AC282" s="55">
        <f t="shared" si="25"/>
        <v>0</v>
      </c>
    </row>
    <row r="283" spans="1:29">
      <c r="A283" t="s">
        <v>96</v>
      </c>
      <c r="B283" s="16" t="str">
        <f>INDEX(emprunts!C:C,MATCH($A283,emprunts!A:A,0))</f>
        <v>Dexia CL</v>
      </c>
      <c r="C283" s="18">
        <f>INDEX(emprunts!M:M,MATCH($A283,emprunts!$A:$A,0))</f>
        <v>38087</v>
      </c>
      <c r="D283" s="18">
        <f>IF(INDEX(emprunts!O:O,MATCH($A283,emprunts!$A:$A,0))="",INDEX(emprunts!N:N,MATCH($A283,emprunts!$A:$A,0)),MIN(INDEX(emprunts!N:N,MATCH($A283,emprunts!$A:$A,0)),INDEX(emprunts!O:O,MATCH($A283,emprunts!$A:$A,0))))</f>
        <v>38534</v>
      </c>
      <c r="E283" s="52">
        <f>INDEX(emprunts!I:I,MATCH($A283,emprunts!$A:$A,0))</f>
        <v>15</v>
      </c>
      <c r="F283" s="18" t="str">
        <f>INDEX(emprunts!P:P,MATCH($A283,emprunts!$A:$A,0))</f>
        <v>Barrière hors zone EUR</v>
      </c>
      <c r="G283" s="126" t="str">
        <f>IF(LEFT(A283,3)="vx_","vx",INDEX(Categorie,MATCH($A283,emprunts!$A$2:$A$149,0)))</f>
        <v>Struct</v>
      </c>
      <c r="H283">
        <v>2006</v>
      </c>
      <c r="I283">
        <f t="shared" si="22"/>
        <v>1</v>
      </c>
      <c r="N283" s="58"/>
      <c r="O283" s="58"/>
      <c r="Q283" s="14"/>
      <c r="R283" s="14"/>
      <c r="S283" s="14"/>
      <c r="T283" s="14"/>
      <c r="U283" s="14"/>
      <c r="V283" s="14" t="str">
        <f t="shared" si="26"/>
        <v/>
      </c>
      <c r="X283" s="85">
        <f t="shared" si="23"/>
        <v>0</v>
      </c>
      <c r="Y283" s="21" t="str">
        <f t="shared" si="24"/>
        <v/>
      </c>
      <c r="AA283" s="55">
        <f t="shared" si="27"/>
        <v>0</v>
      </c>
      <c r="AB283" s="55">
        <f t="shared" si="28"/>
        <v>0</v>
      </c>
      <c r="AC283" s="55">
        <f t="shared" si="25"/>
        <v>0</v>
      </c>
    </row>
    <row r="284" spans="1:29">
      <c r="A284" t="s">
        <v>98</v>
      </c>
      <c r="B284" s="16" t="str">
        <f>INDEX(emprunts!C:C,MATCH($A284,emprunts!A:A,0))</f>
        <v>Dexia CL</v>
      </c>
      <c r="C284" s="18">
        <f>INDEX(emprunts!M:M,MATCH($A284,emprunts!$A:$A,0))</f>
        <v>38092</v>
      </c>
      <c r="D284" s="18">
        <f>IF(INDEX(emprunts!O:O,MATCH($A284,emprunts!$A:$A,0))="",INDEX(emprunts!N:N,MATCH($A284,emprunts!$A:$A,0)),MIN(INDEX(emprunts!N:N,MATCH($A284,emprunts!$A:$A,0)),INDEX(emprunts!O:O,MATCH($A284,emprunts!$A:$A,0))))</f>
        <v>38443</v>
      </c>
      <c r="E284" s="52">
        <f>INDEX(emprunts!I:I,MATCH($A284,emprunts!$A:$A,0))</f>
        <v>15</v>
      </c>
      <c r="F284" s="18" t="str">
        <f>INDEX(emprunts!P:P,MATCH($A284,emprunts!$A:$A,0))</f>
        <v>Variable hors zone EUR</v>
      </c>
      <c r="G284" s="126" t="str">
        <f>IF(LEFT(A284,3)="vx_","vx",INDEX(Categorie,MATCH($A284,emprunts!$A$2:$A$149,0)))</f>
        <v>Struct</v>
      </c>
      <c r="H284">
        <v>2006</v>
      </c>
      <c r="I284">
        <f t="shared" si="22"/>
        <v>1</v>
      </c>
      <c r="N284" s="58"/>
      <c r="O284" s="58"/>
      <c r="Q284" s="14"/>
      <c r="R284" s="14"/>
      <c r="S284" s="14"/>
      <c r="T284" s="14"/>
      <c r="U284" s="14"/>
      <c r="V284" s="14" t="str">
        <f t="shared" si="26"/>
        <v/>
      </c>
      <c r="X284" s="85">
        <f t="shared" si="23"/>
        <v>0</v>
      </c>
      <c r="Y284" s="21" t="str">
        <f t="shared" si="24"/>
        <v/>
      </c>
      <c r="AA284" s="55">
        <f t="shared" si="27"/>
        <v>0</v>
      </c>
      <c r="AB284" s="55">
        <f t="shared" si="28"/>
        <v>0</v>
      </c>
      <c r="AC284" s="55">
        <f t="shared" si="25"/>
        <v>0</v>
      </c>
    </row>
    <row r="285" spans="1:29">
      <c r="A285" t="s">
        <v>101</v>
      </c>
      <c r="B285" s="16" t="str">
        <f>INDEX(emprunts!C:C,MATCH($A285,emprunts!A:A,0))</f>
        <v>Dexia CL</v>
      </c>
      <c r="C285" s="18">
        <f>INDEX(emprunts!M:M,MATCH($A285,emprunts!$A:$A,0))</f>
        <v>38106</v>
      </c>
      <c r="D285" s="18">
        <f>IF(INDEX(emprunts!O:O,MATCH($A285,emprunts!$A:$A,0))="",INDEX(emprunts!N:N,MATCH($A285,emprunts!$A:$A,0)),MIN(INDEX(emprunts!N:N,MATCH($A285,emprunts!$A:$A,0)),INDEX(emprunts!O:O,MATCH($A285,emprunts!$A:$A,0))))</f>
        <v>39203</v>
      </c>
      <c r="E285" s="52">
        <f>INDEX(emprunts!I:I,MATCH($A285,emprunts!$A:$A,0))</f>
        <v>21</v>
      </c>
      <c r="F285" s="18" t="str">
        <f>INDEX(emprunts!P:P,MATCH($A285,emprunts!$A:$A,0))</f>
        <v>Barrière</v>
      </c>
      <c r="G285" s="126" t="str">
        <f>IF(LEFT(A285,3)="vx_","vx",INDEX(Categorie,MATCH($A285,emprunts!$A$2:$A$149,0)))</f>
        <v>Struct</v>
      </c>
      <c r="H285">
        <v>2006</v>
      </c>
      <c r="I285">
        <f t="shared" si="22"/>
        <v>1</v>
      </c>
      <c r="N285" s="58"/>
      <c r="O285" s="58">
        <v>7504022</v>
      </c>
      <c r="P285" s="4">
        <v>4.0988999999999998E-2</v>
      </c>
      <c r="Q285" s="14">
        <v>317778.73</v>
      </c>
      <c r="R285" s="14">
        <v>254037.74</v>
      </c>
      <c r="S285" s="14"/>
      <c r="T285" s="14">
        <v>205476.79</v>
      </c>
      <c r="U285" s="14">
        <f>SUM(Q285:S285)</f>
        <v>571816.47</v>
      </c>
      <c r="V285" s="14">
        <f t="shared" si="26"/>
        <v>0</v>
      </c>
      <c r="X285" s="85">
        <f t="shared" si="23"/>
        <v>0</v>
      </c>
      <c r="Y285" s="21">
        <f t="shared" si="24"/>
        <v>4.0843252395882303E-2</v>
      </c>
      <c r="AA285" s="55">
        <f t="shared" si="27"/>
        <v>310822.62</v>
      </c>
      <c r="AB285" s="55">
        <f t="shared" si="28"/>
        <v>0.74000000022351742</v>
      </c>
      <c r="AC285" s="55">
        <f t="shared" si="25"/>
        <v>7610133.9087123293</v>
      </c>
    </row>
    <row r="286" spans="1:29">
      <c r="A286" t="s">
        <v>105</v>
      </c>
      <c r="B286" s="16" t="str">
        <f>INDEX(emprunts!C:C,MATCH($A286,emprunts!A:A,0))</f>
        <v>Dexia CL</v>
      </c>
      <c r="C286" s="18">
        <f>INDEX(emprunts!M:M,MATCH($A286,emprunts!$A:$A,0))</f>
        <v>38153</v>
      </c>
      <c r="D286" s="18">
        <f>IF(INDEX(emprunts!O:O,MATCH($A286,emprunts!$A:$A,0))="",INDEX(emprunts!N:N,MATCH($A286,emprunts!$A:$A,0)),MIN(INDEX(emprunts!N:N,MATCH($A286,emprunts!$A:$A,0)),INDEX(emprunts!O:O,MATCH($A286,emprunts!$A:$A,0))))</f>
        <v>38384</v>
      </c>
      <c r="E286" s="52">
        <f>INDEX(emprunts!I:I,MATCH($A286,emprunts!$A:$A,0))</f>
        <v>10</v>
      </c>
      <c r="F286" s="18" t="str">
        <f>INDEX(emprunts!P:P,MATCH($A286,emprunts!$A:$A,0))</f>
        <v>Change</v>
      </c>
      <c r="G286" s="126" t="str">
        <f>IF(LEFT(A286,3)="vx_","vx",INDEX(Categorie,MATCH($A286,emprunts!$A$2:$A$149,0)))</f>
        <v>Struct</v>
      </c>
      <c r="H286">
        <v>2006</v>
      </c>
      <c r="I286">
        <f t="shared" si="22"/>
        <v>1</v>
      </c>
      <c r="N286" s="58"/>
      <c r="O286" s="58"/>
      <c r="Q286" s="14"/>
      <c r="R286" s="14"/>
      <c r="S286" s="14"/>
      <c r="T286" s="14"/>
      <c r="U286" s="14"/>
      <c r="V286" s="14" t="str">
        <f t="shared" si="26"/>
        <v/>
      </c>
      <c r="X286" s="85">
        <f t="shared" si="23"/>
        <v>0</v>
      </c>
      <c r="Y286" s="21" t="str">
        <f t="shared" si="24"/>
        <v/>
      </c>
      <c r="AA286" s="55">
        <f t="shared" si="27"/>
        <v>0</v>
      </c>
      <c r="AB286" s="55">
        <f t="shared" si="28"/>
        <v>0</v>
      </c>
      <c r="AC286" s="55">
        <f t="shared" si="25"/>
        <v>0</v>
      </c>
    </row>
    <row r="287" spans="1:29">
      <c r="A287" t="s">
        <v>108</v>
      </c>
      <c r="B287" s="16" t="str">
        <f>INDEX(emprunts!C:C,MATCH($A287,emprunts!A:A,0))</f>
        <v>Dexia CL</v>
      </c>
      <c r="C287" s="18">
        <f>INDEX(emprunts!M:M,MATCH($A287,emprunts!$A:$A,0))</f>
        <v>38193</v>
      </c>
      <c r="D287" s="18">
        <f>IF(INDEX(emprunts!O:O,MATCH($A287,emprunts!$A:$A,0))="",INDEX(emprunts!N:N,MATCH($A287,emprunts!$A:$A,0)),MIN(INDEX(emprunts!N:N,MATCH($A287,emprunts!$A:$A,0)),INDEX(emprunts!O:O,MATCH($A287,emprunts!$A:$A,0))))</f>
        <v>38777</v>
      </c>
      <c r="E287" s="52">
        <f>INDEX(emprunts!I:I,MATCH($A287,emprunts!$A:$A,0))</f>
        <v>18</v>
      </c>
      <c r="F287" s="18" t="str">
        <f>INDEX(emprunts!P:P,MATCH($A287,emprunts!$A:$A,0))</f>
        <v>Pente</v>
      </c>
      <c r="G287" s="126" t="str">
        <f>IF(LEFT(A287,3)="vx_","vx",INDEX(Categorie,MATCH($A287,emprunts!$A$2:$A$149,0)))</f>
        <v>Struct</v>
      </c>
      <c r="H287">
        <v>2006</v>
      </c>
      <c r="I287">
        <f t="shared" si="22"/>
        <v>1</v>
      </c>
      <c r="N287" s="58"/>
      <c r="O287" s="58">
        <v>0</v>
      </c>
      <c r="Q287" s="14">
        <v>360002.91</v>
      </c>
      <c r="R287" s="14">
        <v>937710.32</v>
      </c>
      <c r="S287" s="14"/>
      <c r="T287" s="14">
        <v>0</v>
      </c>
      <c r="U287" s="14">
        <f>SUM(Q287:T287)</f>
        <v>1297713.23</v>
      </c>
      <c r="V287" s="14">
        <f t="shared" si="26"/>
        <v>0</v>
      </c>
      <c r="X287" s="85">
        <f t="shared" si="23"/>
        <v>8844000</v>
      </c>
      <c r="Y287" s="21">
        <f t="shared" si="24"/>
        <v>4.0448120272625405E-2</v>
      </c>
      <c r="AA287" s="55">
        <f t="shared" si="27"/>
        <v>60889.209999999963</v>
      </c>
      <c r="AB287" s="55">
        <f t="shared" si="28"/>
        <v>130.32000000029802</v>
      </c>
      <c r="AC287" s="55">
        <f t="shared" si="25"/>
        <v>1505365.6286027397</v>
      </c>
    </row>
    <row r="288" spans="1:29">
      <c r="A288" t="s">
        <v>114</v>
      </c>
      <c r="B288" s="16" t="str">
        <f>INDEX(emprunts!C:C,MATCH($A288,emprunts!A:A,0))</f>
        <v>Dexia CL</v>
      </c>
      <c r="C288" s="18">
        <f>INDEX(emprunts!M:M,MATCH($A288,emprunts!$A:$A,0))</f>
        <v>38384</v>
      </c>
      <c r="D288" s="18">
        <f>IF(INDEX(emprunts!O:O,MATCH($A288,emprunts!$A:$A,0))="",INDEX(emprunts!N:N,MATCH($A288,emprunts!$A:$A,0)),MIN(INDEX(emprunts!N:N,MATCH($A288,emprunts!$A:$A,0)),INDEX(emprunts!O:O,MATCH($A288,emprunts!$A:$A,0))))</f>
        <v>39263</v>
      </c>
      <c r="E288" s="52">
        <f>INDEX(emprunts!I:I,MATCH($A288,emprunts!$A:$A,0))</f>
        <v>15</v>
      </c>
      <c r="F288" s="18" t="str">
        <f>INDEX(emprunts!P:P,MATCH($A288,emprunts!$A:$A,0))</f>
        <v>Change</v>
      </c>
      <c r="G288" s="126" t="str">
        <f>IF(LEFT(A288,3)="vx_","vx",INDEX(Categorie,MATCH($A288,emprunts!$A$2:$A$149,0)))</f>
        <v>Struct</v>
      </c>
      <c r="H288">
        <v>2006</v>
      </c>
      <c r="I288">
        <f t="shared" si="22"/>
        <v>1</v>
      </c>
      <c r="N288" s="14">
        <v>11000000</v>
      </c>
      <c r="O288" s="14">
        <v>10490235</v>
      </c>
      <c r="P288" s="4">
        <v>3.5709999999999999E-2</v>
      </c>
      <c r="Q288" s="14">
        <v>285704.05</v>
      </c>
      <c r="R288" s="14">
        <v>509765.16</v>
      </c>
      <c r="S288" s="14"/>
      <c r="T288" s="14">
        <v>341528.08</v>
      </c>
      <c r="U288" s="14">
        <f t="shared" ref="U288:U301" si="32">SUM(Q288:S288)</f>
        <v>795469.21</v>
      </c>
      <c r="V288" s="14">
        <f t="shared" si="26"/>
        <v>0</v>
      </c>
      <c r="W288" s="85"/>
      <c r="X288" s="85">
        <f t="shared" si="23"/>
        <v>0</v>
      </c>
      <c r="Y288" s="21">
        <f t="shared" si="24"/>
        <v>3.4727946163169376E-2</v>
      </c>
      <c r="AA288" s="55">
        <f t="shared" si="27"/>
        <v>372133.52</v>
      </c>
      <c r="AB288" s="55">
        <f t="shared" si="28"/>
        <v>0.16000000014901161</v>
      </c>
      <c r="AC288" s="55">
        <f t="shared" si="25"/>
        <v>10715678.90169863</v>
      </c>
    </row>
    <row r="289" spans="1:29">
      <c r="A289" t="s">
        <v>117</v>
      </c>
      <c r="B289" s="16" t="str">
        <f>INDEX(emprunts!C:C,MATCH($A289,emprunts!A:A,0))</f>
        <v>Dexia CL</v>
      </c>
      <c r="C289" s="18">
        <f>INDEX(emprunts!M:M,MATCH($A289,emprunts!$A:$A,0))</f>
        <v>38406</v>
      </c>
      <c r="D289" s="18">
        <f>IF(INDEX(emprunts!O:O,MATCH($A289,emprunts!$A:$A,0))="",INDEX(emprunts!N:N,MATCH($A289,emprunts!$A:$A,0)),MIN(INDEX(emprunts!N:N,MATCH($A289,emprunts!$A:$A,0)),INDEX(emprunts!O:O,MATCH($A289,emprunts!$A:$A,0))))</f>
        <v>39114</v>
      </c>
      <c r="E289" s="52">
        <f>INDEX(emprunts!I:I,MATCH($A289,emprunts!$A:$A,0))</f>
        <v>17</v>
      </c>
      <c r="F289" s="18" t="str">
        <f>INDEX(emprunts!P:P,MATCH($A289,emprunts!$A:$A,0))</f>
        <v>Barrière avec multiplicateur</v>
      </c>
      <c r="G289" s="126" t="str">
        <f>IF(LEFT(A289,3)="vx_","vx",INDEX(Categorie,MATCH($A289,emprunts!$A$2:$A$149,0)))</f>
        <v>Struct</v>
      </c>
      <c r="H289">
        <v>2006</v>
      </c>
      <c r="I289">
        <f t="shared" si="22"/>
        <v>1</v>
      </c>
      <c r="N289" s="58">
        <v>10833098.460000001</v>
      </c>
      <c r="O289" s="58">
        <v>9657641</v>
      </c>
      <c r="P289" s="4">
        <v>4.0176999999999997E-2</v>
      </c>
      <c r="Q289" s="14">
        <v>54917.79</v>
      </c>
      <c r="R289" s="14">
        <v>1175457.19</v>
      </c>
      <c r="S289" s="14"/>
      <c r="T289" s="14">
        <v>63507.05</v>
      </c>
      <c r="U289" s="14">
        <f t="shared" si="32"/>
        <v>1230374.98</v>
      </c>
      <c r="V289" s="14">
        <f t="shared" si="26"/>
        <v>0</v>
      </c>
      <c r="X289" s="85">
        <f t="shared" si="23"/>
        <v>0</v>
      </c>
      <c r="Y289" s="21">
        <f t="shared" si="24"/>
        <v>1.0707061458926012E-2</v>
      </c>
      <c r="AA289" s="55">
        <f t="shared" si="27"/>
        <v>109397.26</v>
      </c>
      <c r="AB289" s="55">
        <f t="shared" si="28"/>
        <v>0.18999999947845936</v>
      </c>
      <c r="AC289" s="55">
        <f t="shared" si="25"/>
        <v>10217300.089260275</v>
      </c>
    </row>
    <row r="290" spans="1:29">
      <c r="A290" t="s">
        <v>121</v>
      </c>
      <c r="B290" s="16" t="str">
        <f>INDEX(emprunts!C:C,MATCH($A290,emprunts!A:A,0))</f>
        <v>Dexia CL</v>
      </c>
      <c r="C290" s="18">
        <f>INDEX(emprunts!M:M,MATCH($A290,emprunts!$A:$A,0))</f>
        <v>38406</v>
      </c>
      <c r="D290" s="18">
        <f>IF(INDEX(emprunts!O:O,MATCH($A290,emprunts!$A:$A,0))="",INDEX(emprunts!N:N,MATCH($A290,emprunts!$A:$A,0)),MIN(INDEX(emprunts!N:N,MATCH($A290,emprunts!$A:$A,0)),INDEX(emprunts!O:O,MATCH($A290,emprunts!$A:$A,0))))</f>
        <v>39203</v>
      </c>
      <c r="E290" s="52">
        <f>INDEX(emprunts!I:I,MATCH($A290,emprunts!$A:$A,0))</f>
        <v>15</v>
      </c>
      <c r="F290" s="18" t="str">
        <f>INDEX(emprunts!P:P,MATCH($A290,emprunts!$A:$A,0))</f>
        <v>Variable hors zone EUR</v>
      </c>
      <c r="G290" s="126" t="str">
        <f>IF(LEFT(A290,3)="vx_","vx",INDEX(Categorie,MATCH($A290,emprunts!$A$2:$A$149,0)))</f>
        <v>Struct</v>
      </c>
      <c r="H290">
        <v>2006</v>
      </c>
      <c r="I290">
        <f t="shared" si="22"/>
        <v>1</v>
      </c>
      <c r="N290" s="58"/>
      <c r="O290" s="58">
        <v>8000000</v>
      </c>
      <c r="P290" s="4">
        <v>3.6525000000000002E-2</v>
      </c>
      <c r="Q290" s="14">
        <v>0</v>
      </c>
      <c r="R290" s="14">
        <v>0</v>
      </c>
      <c r="S290" s="14"/>
      <c r="T290" s="14">
        <v>164400</v>
      </c>
      <c r="U290" s="14">
        <f t="shared" si="32"/>
        <v>0</v>
      </c>
      <c r="V290" s="14">
        <f t="shared" si="26"/>
        <v>0</v>
      </c>
      <c r="X290" s="85">
        <f t="shared" si="23"/>
        <v>0</v>
      </c>
      <c r="Y290" s="21">
        <f t="shared" si="24"/>
        <v>2.0606456043956042E-2</v>
      </c>
      <c r="AA290" s="55">
        <f t="shared" si="27"/>
        <v>164400</v>
      </c>
      <c r="AB290" s="55">
        <f t="shared" si="28"/>
        <v>8000000</v>
      </c>
      <c r="AC290" s="55">
        <f t="shared" si="25"/>
        <v>7978082.1917808224</v>
      </c>
    </row>
    <row r="291" spans="1:29">
      <c r="A291" t="s">
        <v>123</v>
      </c>
      <c r="B291" s="16" t="str">
        <f>INDEX(emprunts!C:C,MATCH($A291,emprunts!A:A,0))</f>
        <v>Crédit Mutuel</v>
      </c>
      <c r="C291" s="18">
        <f>INDEX(emprunts!M:M,MATCH($A291,emprunts!$A:$A,0))</f>
        <v>38435</v>
      </c>
      <c r="D291" s="18">
        <f>IF(INDEX(emprunts!O:O,MATCH($A291,emprunts!$A:$A,0))="",INDEX(emprunts!N:N,MATCH($A291,emprunts!$A:$A,0)),MIN(INDEX(emprunts!N:N,MATCH($A291,emprunts!$A:$A,0)),INDEX(emprunts!O:O,MATCH($A291,emprunts!$A:$A,0))))</f>
        <v>40260</v>
      </c>
      <c r="E291" s="52">
        <f>INDEX(emprunts!I:I,MATCH($A291,emprunts!$A:$A,0))</f>
        <v>5</v>
      </c>
      <c r="F291" s="18" t="str">
        <f>INDEX(emprunts!P:P,MATCH($A291,emprunts!$A:$A,0))</f>
        <v>Fixe</v>
      </c>
      <c r="G291" s="126" t="str">
        <f>IF(LEFT(A291,3)="vx_","vx",INDEX(Categorie,MATCH($A291,emprunts!$A$2:$A$149,0)))</f>
        <v>Non_st</v>
      </c>
      <c r="H291">
        <v>2006</v>
      </c>
      <c r="I291">
        <f t="shared" si="22"/>
        <v>1</v>
      </c>
      <c r="N291" s="58"/>
      <c r="O291" s="58">
        <v>1467702</v>
      </c>
      <c r="P291" s="4">
        <v>2.9700000000000001E-2</v>
      </c>
      <c r="Q291" s="14">
        <v>50415.28</v>
      </c>
      <c r="R291" s="14">
        <v>340854.16</v>
      </c>
      <c r="S291" s="14"/>
      <c r="T291" s="14">
        <v>36544.57</v>
      </c>
      <c r="U291" s="14">
        <f t="shared" si="32"/>
        <v>391269.43999999994</v>
      </c>
      <c r="V291" s="14">
        <f t="shared" si="26"/>
        <v>0</v>
      </c>
      <c r="X291" s="85">
        <f t="shared" si="23"/>
        <v>0</v>
      </c>
      <c r="Y291" s="21">
        <f t="shared" si="24"/>
        <v>2.7709544797515976E-2</v>
      </c>
      <c r="AA291" s="55">
        <f t="shared" si="27"/>
        <v>45267.450000000004</v>
      </c>
      <c r="AB291" s="55">
        <f t="shared" si="28"/>
        <v>0.15999999991618097</v>
      </c>
      <c r="AC291" s="55">
        <f t="shared" si="25"/>
        <v>1633641.0551232877</v>
      </c>
    </row>
    <row r="292" spans="1:29">
      <c r="A292" t="s">
        <v>125</v>
      </c>
      <c r="B292" s="16" t="str">
        <f>INDEX(emprunts!C:C,MATCH($A292,emprunts!A:A,0))</f>
        <v>Dexia CL</v>
      </c>
      <c r="C292" s="18">
        <f>INDEX(emprunts!M:M,MATCH($A292,emprunts!$A:$A,0))</f>
        <v>38443</v>
      </c>
      <c r="D292" s="18">
        <f>IF(INDEX(emprunts!O:O,MATCH($A292,emprunts!$A:$A,0))="",INDEX(emprunts!N:N,MATCH($A292,emprunts!$A:$A,0)),MIN(INDEX(emprunts!N:N,MATCH($A292,emprunts!$A:$A,0)),INDEX(emprunts!O:O,MATCH($A292,emprunts!$A:$A,0))))</f>
        <v>38899</v>
      </c>
      <c r="E292" s="52">
        <f>INDEX(emprunts!I:I,MATCH($A292,emprunts!$A:$A,0))</f>
        <v>19</v>
      </c>
      <c r="F292" s="18" t="str">
        <f>INDEX(emprunts!P:P,MATCH($A292,emprunts!$A:$A,0))</f>
        <v>Change</v>
      </c>
      <c r="G292" s="126" t="str">
        <f>IF(LEFT(A292,3)="vx_","vx",INDEX(Categorie,MATCH($A292,emprunts!$A$2:$A$149,0)))</f>
        <v>Struct</v>
      </c>
      <c r="H292">
        <v>2006</v>
      </c>
      <c r="I292">
        <f t="shared" si="22"/>
        <v>1</v>
      </c>
      <c r="N292" s="58">
        <v>14472154.99</v>
      </c>
      <c r="O292" s="58">
        <v>0</v>
      </c>
      <c r="Q292" s="14">
        <v>511093.57</v>
      </c>
      <c r="R292" s="14">
        <v>417687.64</v>
      </c>
      <c r="S292" s="14"/>
      <c r="T292" s="14">
        <v>0</v>
      </c>
      <c r="U292" s="14">
        <f>SUM(Q292:T292)</f>
        <v>928781.21</v>
      </c>
      <c r="V292" s="14">
        <f t="shared" si="26"/>
        <v>0</v>
      </c>
      <c r="X292" s="85">
        <f t="shared" si="23"/>
        <v>14054000</v>
      </c>
      <c r="Y292" s="21">
        <f t="shared" si="24"/>
        <v>4.1911357081065741E-2</v>
      </c>
      <c r="AA292" s="55">
        <f t="shared" si="27"/>
        <v>296430.96000000002</v>
      </c>
      <c r="AB292" s="55">
        <f t="shared" si="28"/>
        <v>-467.35999999940395</v>
      </c>
      <c r="AC292" s="55">
        <f t="shared" si="25"/>
        <v>7072807.4833424659</v>
      </c>
    </row>
    <row r="293" spans="1:29">
      <c r="A293" t="s">
        <v>180</v>
      </c>
      <c r="B293" s="16" t="str">
        <f>INDEX(emprunts!C:C,MATCH($A293,emprunts!A:A,0))</f>
        <v>Dexia CL</v>
      </c>
      <c r="C293" s="18">
        <f>INDEX(emprunts!M:M,MATCH($A293,emprunts!$A:$A,0))</f>
        <v>38443</v>
      </c>
      <c r="D293" s="18">
        <f>IF(INDEX(emprunts!O:O,MATCH($A293,emprunts!$A:$A,0))="",INDEX(emprunts!N:N,MATCH($A293,emprunts!$A:$A,0)),MIN(INDEX(emprunts!N:N,MATCH($A293,emprunts!$A:$A,0)),INDEX(emprunts!O:O,MATCH($A293,emprunts!$A:$A,0))))</f>
        <v>39203</v>
      </c>
      <c r="E293" s="52">
        <f>INDEX(emprunts!I:I,MATCH($A293,emprunts!$A:$A,0))</f>
        <v>15</v>
      </c>
      <c r="F293" s="18" t="str">
        <f>INDEX(emprunts!P:P,MATCH($A293,emprunts!$A:$A,0))</f>
        <v>Change</v>
      </c>
      <c r="G293" s="126" t="str">
        <f>IF(LEFT(A293,3)="vx_","vx",INDEX(Categorie,MATCH($A293,emprunts!$A$2:$A$149,0)))</f>
        <v>Struct</v>
      </c>
      <c r="H293">
        <v>2006</v>
      </c>
      <c r="I293">
        <f t="shared" si="22"/>
        <v>1</v>
      </c>
      <c r="N293" s="58">
        <v>6992442.4100000001</v>
      </c>
      <c r="O293" s="58">
        <v>6668397</v>
      </c>
      <c r="P293" s="4">
        <v>3.2760999999999998E-2</v>
      </c>
      <c r="Q293" s="14">
        <v>168944.21</v>
      </c>
      <c r="R293" s="14">
        <v>324045.78000000003</v>
      </c>
      <c r="S293" s="14"/>
      <c r="T293" s="14">
        <v>163884.37</v>
      </c>
      <c r="U293" s="14">
        <f t="shared" si="32"/>
        <v>492989.99</v>
      </c>
      <c r="V293" s="14">
        <f t="shared" si="26"/>
        <v>0</v>
      </c>
      <c r="X293" s="85">
        <f t="shared" si="23"/>
        <v>0</v>
      </c>
      <c r="Y293" s="21">
        <f t="shared" si="24"/>
        <v>3.0829970837485874E-2</v>
      </c>
      <c r="AA293" s="55">
        <f t="shared" si="27"/>
        <v>210004.70999999996</v>
      </c>
      <c r="AB293" s="55">
        <f t="shared" si="28"/>
        <v>0.78000000026077032</v>
      </c>
      <c r="AC293" s="55">
        <f t="shared" si="25"/>
        <v>6811706.4108493151</v>
      </c>
    </row>
    <row r="294" spans="1:29">
      <c r="A294" t="s">
        <v>183</v>
      </c>
      <c r="B294" s="16" t="str">
        <f>INDEX(emprunts!C:C,MATCH($A294,emprunts!A:A,0))</f>
        <v>CDC</v>
      </c>
      <c r="C294" s="18">
        <f>INDEX(emprunts!M:M,MATCH($A294,emprunts!$A:$A,0))</f>
        <v>38473</v>
      </c>
      <c r="D294" s="18">
        <f>IF(INDEX(emprunts!O:O,MATCH($A294,emprunts!$A:$A,0))="",INDEX(emprunts!N:N,MATCH($A294,emprunts!$A:$A,0)),MIN(INDEX(emprunts!N:N,MATCH($A294,emprunts!$A:$A,0)),INDEX(emprunts!O:O,MATCH($A294,emprunts!$A:$A,0))))</f>
        <v>40663</v>
      </c>
      <c r="E294" s="52">
        <f>INDEX(emprunts!I:I,MATCH($A294,emprunts!$A:$A,0))</f>
        <v>6</v>
      </c>
      <c r="F294" s="18" t="str">
        <f>INDEX(emprunts!P:P,MATCH($A294,emprunts!$A:$A,0))</f>
        <v>Variable</v>
      </c>
      <c r="G294" s="126" t="str">
        <f>IF(LEFT(A294,3)="vx_","vx",INDEX(Categorie,MATCH($A294,emprunts!$A$2:$A$149,0)))</f>
        <v>Non_st</v>
      </c>
      <c r="H294">
        <v>2006</v>
      </c>
      <c r="I294">
        <f t="shared" si="22"/>
        <v>1</v>
      </c>
      <c r="N294" s="58">
        <v>2503519</v>
      </c>
      <c r="O294" s="58">
        <v>0</v>
      </c>
      <c r="Q294" s="14">
        <v>59776.73</v>
      </c>
      <c r="R294" s="14">
        <v>2503519</v>
      </c>
      <c r="S294" s="14"/>
      <c r="T294" s="14">
        <v>0</v>
      </c>
      <c r="U294" s="14">
        <f>SUM(Q294:T294)</f>
        <v>2563295.73</v>
      </c>
      <c r="V294" s="14">
        <f t="shared" si="26"/>
        <v>0</v>
      </c>
      <c r="X294" s="85">
        <f t="shared" si="23"/>
        <v>0</v>
      </c>
      <c r="Y294" s="21">
        <f t="shared" si="24"/>
        <v>2.0330272888102491E-2</v>
      </c>
      <c r="AA294" s="55">
        <f t="shared" si="27"/>
        <v>25378.890000000007</v>
      </c>
      <c r="AB294" s="55">
        <f t="shared" si="28"/>
        <v>0</v>
      </c>
      <c r="AC294" s="55">
        <f t="shared" si="25"/>
        <v>1248330.0219178083</v>
      </c>
    </row>
    <row r="295" spans="1:29">
      <c r="A295" t="s">
        <v>185</v>
      </c>
      <c r="B295" s="16" t="str">
        <f>INDEX(emprunts!C:C,MATCH($A295,emprunts!A:A,0))</f>
        <v>CDC</v>
      </c>
      <c r="C295" s="18">
        <f>INDEX(emprunts!M:M,MATCH($A295,emprunts!$A:$A,0))</f>
        <v>38473</v>
      </c>
      <c r="D295" s="18">
        <f>IF(INDEX(emprunts!O:O,MATCH($A295,emprunts!$A:$A,0))="",INDEX(emprunts!N:N,MATCH($A295,emprunts!$A:$A,0)),MIN(INDEX(emprunts!N:N,MATCH($A295,emprunts!$A:$A,0)),INDEX(emprunts!O:O,MATCH($A295,emprunts!$A:$A,0))))</f>
        <v>41393</v>
      </c>
      <c r="E295" s="52">
        <f>INDEX(emprunts!I:I,MATCH($A295,emprunts!$A:$A,0))</f>
        <v>8</v>
      </c>
      <c r="F295" s="18" t="str">
        <f>INDEX(emprunts!P:P,MATCH($A295,emprunts!$A:$A,0))</f>
        <v>Variable</v>
      </c>
      <c r="G295" s="126" t="str">
        <f>IF(LEFT(A295,3)="vx_","vx",INDEX(Categorie,MATCH($A295,emprunts!$A$2:$A$149,0)))</f>
        <v>Non_st</v>
      </c>
      <c r="H295">
        <v>2006</v>
      </c>
      <c r="I295">
        <f t="shared" si="22"/>
        <v>1</v>
      </c>
      <c r="N295" s="58"/>
      <c r="O295" s="58">
        <v>3031453</v>
      </c>
      <c r="P295" s="4">
        <v>3.5186000000000002E-2</v>
      </c>
      <c r="Q295" s="14">
        <v>81780.759999999995</v>
      </c>
      <c r="R295" s="14">
        <v>393620.71</v>
      </c>
      <c r="S295" s="14"/>
      <c r="T295" s="14">
        <v>71255.31</v>
      </c>
      <c r="U295" s="14">
        <f t="shared" si="32"/>
        <v>475401.47000000003</v>
      </c>
      <c r="V295" s="14">
        <f t="shared" si="26"/>
        <v>0</v>
      </c>
      <c r="X295" s="85">
        <f t="shared" si="23"/>
        <v>0</v>
      </c>
      <c r="Y295" s="21">
        <f t="shared" si="24"/>
        <v>3.2917823574349803E-2</v>
      </c>
      <c r="AA295" s="55">
        <f t="shared" si="27"/>
        <v>105976.26000000001</v>
      </c>
      <c r="AB295" s="55">
        <f t="shared" si="28"/>
        <v>0.7099999999627471</v>
      </c>
      <c r="AC295" s="55">
        <f t="shared" si="25"/>
        <v>3219418.7978630136</v>
      </c>
    </row>
    <row r="296" spans="1:29">
      <c r="A296" t="s">
        <v>186</v>
      </c>
      <c r="B296" s="16" t="str">
        <f>INDEX(emprunts!C:C,MATCH($A296,emprunts!A:A,0))</f>
        <v>Dexia CL</v>
      </c>
      <c r="C296" s="18">
        <f>INDEX(emprunts!M:M,MATCH($A296,emprunts!$A:$A,0))</f>
        <v>38504</v>
      </c>
      <c r="D296" s="18">
        <f>IF(INDEX(emprunts!O:O,MATCH($A296,emprunts!$A:$A,0))="",INDEX(emprunts!N:N,MATCH($A296,emprunts!$A:$A,0)),MIN(INDEX(emprunts!N:N,MATCH($A296,emprunts!$A:$A,0)),INDEX(emprunts!O:O,MATCH($A296,emprunts!$A:$A,0))))</f>
        <v>38805</v>
      </c>
      <c r="E296" s="52">
        <f>INDEX(emprunts!I:I,MATCH($A296,emprunts!$A:$A,0))</f>
        <v>17.25</v>
      </c>
      <c r="F296" s="18" t="str">
        <f>INDEX(emprunts!P:P,MATCH($A296,emprunts!$A:$A,0))</f>
        <v>Change</v>
      </c>
      <c r="G296" s="126" t="str">
        <f>IF(LEFT(A296,3)="vx_","vx",INDEX(Categorie,MATCH($A296,emprunts!$A$2:$A$149,0)))</f>
        <v>Struct</v>
      </c>
      <c r="H296">
        <v>2006</v>
      </c>
      <c r="I296">
        <f t="shared" si="22"/>
        <v>1</v>
      </c>
      <c r="N296" s="58">
        <v>12417987.689999999</v>
      </c>
      <c r="O296" s="58">
        <v>0</v>
      </c>
      <c r="P296" s="4">
        <v>3.9899999999999998E-2</v>
      </c>
      <c r="Q296" s="14">
        <v>333071.13</v>
      </c>
      <c r="R296" s="14">
        <v>483764.91</v>
      </c>
      <c r="S296" s="14"/>
      <c r="T296" s="14">
        <v>0</v>
      </c>
      <c r="U296" s="14">
        <f t="shared" si="32"/>
        <v>816836.04</v>
      </c>
      <c r="V296" s="14">
        <f t="shared" si="26"/>
        <v>0</v>
      </c>
      <c r="W296" s="85">
        <v>3691337.91</v>
      </c>
      <c r="X296" s="85">
        <f t="shared" si="23"/>
        <v>12455000</v>
      </c>
      <c r="Y296" s="21">
        <f t="shared" si="24"/>
        <v>0.10445740090177102</v>
      </c>
      <c r="AA296" s="55">
        <f t="shared" si="27"/>
        <v>316127.81</v>
      </c>
      <c r="AB296" s="55">
        <f t="shared" si="28"/>
        <v>0</v>
      </c>
      <c r="AC296" s="55">
        <f t="shared" si="25"/>
        <v>3026380.2016027397</v>
      </c>
    </row>
    <row r="297" spans="1:29">
      <c r="A297" t="s">
        <v>187</v>
      </c>
      <c r="B297" s="16" t="str">
        <f>INDEX(emprunts!C:C,MATCH($A297,emprunts!A:A,0))</f>
        <v>Dexia CL</v>
      </c>
      <c r="C297" s="18">
        <f>INDEX(emprunts!M:M,MATCH($A297,emprunts!$A:$A,0))</f>
        <v>38534</v>
      </c>
      <c r="D297" s="18">
        <f>IF(INDEX(emprunts!O:O,MATCH($A297,emprunts!$A:$A,0))="",INDEX(emprunts!N:N,MATCH($A297,emprunts!$A:$A,0)),MIN(INDEX(emprunts!N:N,MATCH($A297,emprunts!$A:$A,0)),INDEX(emprunts!O:O,MATCH($A297,emprunts!$A:$A,0))))</f>
        <v>38899</v>
      </c>
      <c r="E297" s="52">
        <f>INDEX(emprunts!I:I,MATCH($A297,emprunts!$A:$A,0))</f>
        <v>16</v>
      </c>
      <c r="F297" s="18" t="str">
        <f>INDEX(emprunts!P:P,MATCH($A297,emprunts!$A:$A,0))</f>
        <v>Pente</v>
      </c>
      <c r="G297" s="126" t="str">
        <f>IF(LEFT(A297,3)="vx_","vx",INDEX(Categorie,MATCH($A297,emprunts!$A$2:$A$149,0)))</f>
        <v>Struct</v>
      </c>
      <c r="H297">
        <v>2006</v>
      </c>
      <c r="I297">
        <f t="shared" si="22"/>
        <v>1</v>
      </c>
      <c r="N297" s="58"/>
      <c r="O297" s="58">
        <v>0</v>
      </c>
      <c r="P297" s="4">
        <v>4.4999999999999998E-2</v>
      </c>
      <c r="Q297" s="14">
        <v>773918.04</v>
      </c>
      <c r="R297" s="14">
        <v>445000</v>
      </c>
      <c r="S297" s="14"/>
      <c r="T297" s="14">
        <v>0</v>
      </c>
      <c r="U297" s="14">
        <f t="shared" si="32"/>
        <v>1218918.04</v>
      </c>
      <c r="V297" s="14">
        <f t="shared" si="26"/>
        <v>0</v>
      </c>
      <c r="X297" s="85">
        <f t="shared" si="23"/>
        <v>16518000</v>
      </c>
      <c r="Y297" s="21">
        <f t="shared" si="24"/>
        <v>4.6485698378283653E-2</v>
      </c>
      <c r="AA297" s="55">
        <f t="shared" si="27"/>
        <v>385898.86000000004</v>
      </c>
      <c r="AB297" s="55">
        <f t="shared" si="28"/>
        <v>413</v>
      </c>
      <c r="AC297" s="55">
        <f t="shared" si="25"/>
        <v>8301453.4246575348</v>
      </c>
    </row>
    <row r="298" spans="1:29">
      <c r="A298" t="s">
        <v>193</v>
      </c>
      <c r="B298" s="16" t="str">
        <f>INDEX(emprunts!C:C,MATCH($A298,emprunts!A:A,0))</f>
        <v>Dexia CL</v>
      </c>
      <c r="C298" s="18">
        <f>INDEX(emprunts!M:M,MATCH($A298,emprunts!$A:$A,0))</f>
        <v>38687</v>
      </c>
      <c r="D298" s="18">
        <f>IF(INDEX(emprunts!O:O,MATCH($A298,emprunts!$A:$A,0))="",INDEX(emprunts!N:N,MATCH($A298,emprunts!$A:$A,0)),MIN(INDEX(emprunts!N:N,MATCH($A298,emprunts!$A:$A,0)),INDEX(emprunts!O:O,MATCH($A298,emprunts!$A:$A,0))))</f>
        <v>38805</v>
      </c>
      <c r="E298" s="52">
        <f>INDEX(emprunts!I:I,MATCH($A298,emprunts!$A:$A,0))</f>
        <v>16</v>
      </c>
      <c r="F298" s="18" t="str">
        <f>INDEX(emprunts!P:P,MATCH($A298,emprunts!$A:$A,0))</f>
        <v>Pente</v>
      </c>
      <c r="G298" s="126" t="str">
        <f>IF(LEFT(A298,3)="vx_","vx",INDEX(Categorie,MATCH($A298,emprunts!$A$2:$A$149,0)))</f>
        <v>Struct</v>
      </c>
      <c r="H298">
        <v>2006</v>
      </c>
      <c r="I298">
        <f t="shared" si="22"/>
        <v>1</v>
      </c>
      <c r="N298" s="58">
        <v>12870042</v>
      </c>
      <c r="O298" s="58">
        <v>0</v>
      </c>
      <c r="Q298" s="14">
        <v>489329.72</v>
      </c>
      <c r="R298" s="14">
        <v>415000</v>
      </c>
      <c r="S298" s="14"/>
      <c r="T298" s="14">
        <v>0</v>
      </c>
      <c r="U298" s="14">
        <f>SUM(Q298:T298)</f>
        <v>904329.72</v>
      </c>
      <c r="V298" s="14">
        <f t="shared" si="26"/>
        <v>0</v>
      </c>
      <c r="W298" s="85">
        <v>-2500042</v>
      </c>
      <c r="X298" s="85">
        <f t="shared" si="23"/>
        <v>9955000</v>
      </c>
      <c r="Y298" s="21">
        <f t="shared" si="24"/>
        <v>0.18540719808853262</v>
      </c>
      <c r="AA298" s="55">
        <f t="shared" si="27"/>
        <v>449110.83999999997</v>
      </c>
      <c r="AB298" s="55">
        <f t="shared" si="28"/>
        <v>0</v>
      </c>
      <c r="AC298" s="55">
        <f t="shared" si="25"/>
        <v>2422294.5205479451</v>
      </c>
    </row>
    <row r="299" spans="1:29">
      <c r="A299" t="s">
        <v>195</v>
      </c>
      <c r="B299" s="16" t="str">
        <f>INDEX(emprunts!C:C,MATCH($A299,emprunts!A:A,0))</f>
        <v>Dexia CL</v>
      </c>
      <c r="C299" s="18">
        <f>INDEX(emprunts!M:M,MATCH($A299,emprunts!$A:$A,0))</f>
        <v>38709</v>
      </c>
      <c r="D299" s="18">
        <f>IF(INDEX(emprunts!O:O,MATCH($A299,emprunts!$A:$A,0))="",INDEX(emprunts!N:N,MATCH($A299,emprunts!$A:$A,0)),MIN(INDEX(emprunts!N:N,MATCH($A299,emprunts!$A:$A,0)),INDEX(emprunts!O:O,MATCH($A299,emprunts!$A:$A,0))))</f>
        <v>39203</v>
      </c>
      <c r="E299" s="52">
        <f>INDEX(emprunts!I:I,MATCH($A299,emprunts!$A:$A,0))</f>
        <v>18.170000000000002</v>
      </c>
      <c r="F299" s="18" t="str">
        <f>INDEX(emprunts!P:P,MATCH($A299,emprunts!$A:$A,0))</f>
        <v>Pente</v>
      </c>
      <c r="G299" s="126" t="str">
        <f>IF(LEFT(A299,3)="vx_","vx",INDEX(Categorie,MATCH($A299,emprunts!$A$2:$A$149,0)))</f>
        <v>Struct</v>
      </c>
      <c r="H299">
        <v>2006</v>
      </c>
      <c r="I299">
        <f t="shared" si="22"/>
        <v>1</v>
      </c>
      <c r="N299" s="58"/>
      <c r="O299" s="58">
        <v>0</v>
      </c>
      <c r="Q299" s="14"/>
      <c r="R299" s="14"/>
      <c r="S299" s="14"/>
      <c r="T299" s="14">
        <v>0</v>
      </c>
      <c r="U299" s="14">
        <f t="shared" si="32"/>
        <v>0</v>
      </c>
      <c r="V299" s="14">
        <f t="shared" si="26"/>
        <v>0</v>
      </c>
      <c r="X299" s="85">
        <f t="shared" si="23"/>
        <v>0</v>
      </c>
      <c r="Y299" s="21" t="str">
        <f t="shared" si="24"/>
        <v/>
      </c>
      <c r="Z299" t="s">
        <v>576</v>
      </c>
      <c r="AA299" s="55">
        <f t="shared" si="27"/>
        <v>0</v>
      </c>
      <c r="AB299" s="55">
        <f t="shared" si="28"/>
        <v>0</v>
      </c>
      <c r="AC299" s="55">
        <f t="shared" si="25"/>
        <v>0</v>
      </c>
    </row>
    <row r="300" spans="1:29">
      <c r="A300" t="s">
        <v>197</v>
      </c>
      <c r="B300" s="16" t="str">
        <f>INDEX(emprunts!C:C,MATCH($A300,emprunts!A:A,0))</f>
        <v>Caisse d'Épargne</v>
      </c>
      <c r="C300" s="18">
        <f>INDEX(emprunts!M:M,MATCH($A300,emprunts!$A:$A,0))</f>
        <v>38773</v>
      </c>
      <c r="D300" s="18">
        <f>IF(INDEX(emprunts!O:O,MATCH($A300,emprunts!$A:$A,0))="",INDEX(emprunts!N:N,MATCH($A300,emprunts!$A:$A,0)),MIN(INDEX(emprunts!N:N,MATCH($A300,emprunts!$A:$A,0)),INDEX(emprunts!O:O,MATCH($A300,emprunts!$A:$A,0))))</f>
        <v>39288</v>
      </c>
      <c r="E300" s="52">
        <f>INDEX(emprunts!I:I,MATCH($A300,emprunts!$A:$A,0))</f>
        <v>20</v>
      </c>
      <c r="F300" s="18" t="str">
        <f>INDEX(emprunts!P:P,MATCH($A300,emprunts!$A:$A,0))</f>
        <v>Pente</v>
      </c>
      <c r="G300" s="126" t="str">
        <f>IF(LEFT(A300,3)="vx_","vx",INDEX(Categorie,MATCH($A300,emprunts!$A$2:$A$149,0)))</f>
        <v>Struct</v>
      </c>
      <c r="H300">
        <v>2006</v>
      </c>
      <c r="I300">
        <f t="shared" si="22"/>
        <v>1</v>
      </c>
      <c r="N300" s="58">
        <v>15694824</v>
      </c>
      <c r="O300" s="58">
        <v>15694824</v>
      </c>
      <c r="P300" s="4">
        <v>2.6481000000000001E-2</v>
      </c>
      <c r="Q300" s="14">
        <v>64562.95</v>
      </c>
      <c r="R300" s="14">
        <v>0</v>
      </c>
      <c r="S300" s="14"/>
      <c r="T300" s="14">
        <v>284468.68</v>
      </c>
      <c r="U300" s="14">
        <f t="shared" si="32"/>
        <v>64562.95</v>
      </c>
      <c r="V300" s="14">
        <f t="shared" si="26"/>
        <v>0</v>
      </c>
      <c r="X300" s="85">
        <f t="shared" si="23"/>
        <v>0</v>
      </c>
      <c r="Y300" s="21">
        <f t="shared" si="24"/>
        <v>2.6268950402772658E-2</v>
      </c>
      <c r="AA300" s="55">
        <f t="shared" si="27"/>
        <v>349031.63</v>
      </c>
      <c r="AB300" s="55" t="str">
        <f t="shared" si="28"/>
        <v/>
      </c>
      <c r="AC300" s="55">
        <f t="shared" si="25"/>
        <v>13286851.002739726</v>
      </c>
    </row>
    <row r="301" spans="1:29">
      <c r="A301" t="s">
        <v>199</v>
      </c>
      <c r="B301" s="16" t="str">
        <f>INDEX(emprunts!C:C,MATCH($A301,emprunts!A:A,0))</f>
        <v>Dexia CL</v>
      </c>
      <c r="C301" s="18">
        <f>INDEX(emprunts!M:M,MATCH($A301,emprunts!$A:$A,0))</f>
        <v>38777</v>
      </c>
      <c r="D301" s="18">
        <f>IF(INDEX(emprunts!O:O,MATCH($A301,emprunts!$A:$A,0))="",INDEX(emprunts!N:N,MATCH($A301,emprunts!$A:$A,0)),MIN(INDEX(emprunts!N:N,MATCH($A301,emprunts!$A:$A,0)),INDEX(emprunts!O:O,MATCH($A301,emprunts!$A:$A,0))))</f>
        <v>40452</v>
      </c>
      <c r="E301" s="52">
        <f>INDEX(emprunts!I:I,MATCH($A301,emprunts!$A:$A,0))</f>
        <v>16.25</v>
      </c>
      <c r="F301" s="18" t="str">
        <f>INDEX(emprunts!P:P,MATCH($A301,emprunts!$A:$A,0))</f>
        <v>Change</v>
      </c>
      <c r="G301" s="126" t="str">
        <f>IF(LEFT(A301,3)="vx_","vx",INDEX(Categorie,MATCH($A301,emprunts!$A$2:$A$149,0)))</f>
        <v>Struct</v>
      </c>
      <c r="H301">
        <v>2006</v>
      </c>
      <c r="I301">
        <f t="shared" si="22"/>
        <v>1</v>
      </c>
      <c r="N301" s="58">
        <v>11244942</v>
      </c>
      <c r="O301" s="58">
        <v>11244942</v>
      </c>
      <c r="P301" s="4">
        <v>2.9423000000000001E-2</v>
      </c>
      <c r="Q301" s="14">
        <v>0</v>
      </c>
      <c r="R301" s="14">
        <v>0</v>
      </c>
      <c r="S301" s="14"/>
      <c r="T301" s="14">
        <v>276281.96999999997</v>
      </c>
      <c r="U301" s="14">
        <f t="shared" si="32"/>
        <v>0</v>
      </c>
      <c r="V301" s="14">
        <f t="shared" si="26"/>
        <v>0</v>
      </c>
      <c r="X301" s="85">
        <f t="shared" si="23"/>
        <v>0</v>
      </c>
      <c r="Y301" s="21">
        <f t="shared" si="24"/>
        <v>2.9402776952998935E-2</v>
      </c>
      <c r="AA301" s="55">
        <f t="shared" si="27"/>
        <v>276281.96999999997</v>
      </c>
      <c r="AB301" s="55" t="str">
        <f t="shared" si="28"/>
        <v/>
      </c>
      <c r="AC301" s="55">
        <f t="shared" si="25"/>
        <v>9396458.3835616447</v>
      </c>
    </row>
    <row r="302" spans="1:29">
      <c r="A302" t="s">
        <v>204</v>
      </c>
      <c r="B302" s="16" t="str">
        <f>INDEX(emprunts!C:C,MATCH($A302,emprunts!A:A,0))</f>
        <v>Crédit Agricole</v>
      </c>
      <c r="C302" s="18">
        <f>INDEX(emprunts!M:M,MATCH($A302,emprunts!$A:$A,0))</f>
        <v>38782</v>
      </c>
      <c r="D302" s="18">
        <f>IF(INDEX(emprunts!O:O,MATCH($A302,emprunts!$A:$A,0))="",INDEX(emprunts!N:N,MATCH($A302,emprunts!$A:$A,0)),MIN(INDEX(emprunts!N:N,MATCH($A302,emprunts!$A:$A,0)),INDEX(emprunts!O:O,MATCH($A302,emprunts!$A:$A,0))))</f>
        <v>44257</v>
      </c>
      <c r="E302" s="52">
        <f>INDEX(emprunts!I:I,MATCH($A302,emprunts!$A:$A,0))</f>
        <v>15</v>
      </c>
      <c r="F302" s="18" t="str">
        <f>INDEX(emprunts!P:P,MATCH($A302,emprunts!$A:$A,0))</f>
        <v>Barrière</v>
      </c>
      <c r="G302" s="126" t="str">
        <f>IF(LEFT(A302,3)="vx_","vx",INDEX(Categorie,MATCH($A302,emprunts!$A$2:$A$149,0)))</f>
        <v>Struct</v>
      </c>
      <c r="H302">
        <v>2006</v>
      </c>
      <c r="I302">
        <f t="shared" si="22"/>
        <v>1</v>
      </c>
      <c r="N302" s="58"/>
      <c r="O302" s="58"/>
      <c r="Q302" s="14"/>
      <c r="R302" s="14"/>
      <c r="S302" s="14"/>
      <c r="T302" s="14"/>
      <c r="U302" s="14"/>
      <c r="V302" s="14" t="str">
        <f t="shared" si="26"/>
        <v/>
      </c>
      <c r="X302" s="85">
        <f t="shared" si="23"/>
        <v>0</v>
      </c>
      <c r="Y302" s="21" t="str">
        <f t="shared" si="24"/>
        <v/>
      </c>
      <c r="AA302" s="55">
        <f t="shared" si="27"/>
        <v>0</v>
      </c>
      <c r="AB302" s="55" t="str">
        <f t="shared" si="28"/>
        <v/>
      </c>
      <c r="AC302" s="55">
        <f t="shared" si="25"/>
        <v>0</v>
      </c>
    </row>
    <row r="303" spans="1:29">
      <c r="A303" t="s">
        <v>207</v>
      </c>
      <c r="B303" s="16" t="str">
        <f>INDEX(emprunts!C:C,MATCH($A303,emprunts!A:A,0))</f>
        <v>Crédit Agricole</v>
      </c>
      <c r="C303" s="18">
        <f>INDEX(emprunts!M:M,MATCH($A303,emprunts!$A:$A,0))</f>
        <v>38782</v>
      </c>
      <c r="D303" s="18">
        <f>IF(INDEX(emprunts!O:O,MATCH($A303,emprunts!$A:$A,0))="",INDEX(emprunts!N:N,MATCH($A303,emprunts!$A:$A,0)),MIN(INDEX(emprunts!N:N,MATCH($A303,emprunts!$A:$A,0)),INDEX(emprunts!O:O,MATCH($A303,emprunts!$A:$A,0))))</f>
        <v>44261</v>
      </c>
      <c r="E303" s="52">
        <f>INDEX(emprunts!I:I,MATCH($A303,emprunts!$A:$A,0))</f>
        <v>15</v>
      </c>
      <c r="F303" s="18" t="str">
        <f>INDEX(emprunts!P:P,MATCH($A303,emprunts!$A:$A,0))</f>
        <v>Fixe</v>
      </c>
      <c r="G303" s="126" t="str">
        <f>IF(LEFT(A303,3)="vx_","vx",INDEX(Categorie,MATCH($A303,emprunts!$A$2:$A$149,0)))</f>
        <v>Non_st</v>
      </c>
      <c r="H303">
        <v>2006</v>
      </c>
      <c r="I303">
        <f t="shared" ref="I303:I350" si="33">1*(C303&lt;DATE(H303,12,31))</f>
        <v>1</v>
      </c>
      <c r="N303" s="58">
        <v>5000000</v>
      </c>
      <c r="O303" s="58">
        <v>5000000</v>
      </c>
      <c r="P303" s="4">
        <v>3.6200000000000003E-2</v>
      </c>
      <c r="Q303" s="14"/>
      <c r="R303" s="14"/>
      <c r="S303" s="14"/>
      <c r="T303" s="14">
        <v>148767.12</v>
      </c>
      <c r="U303" s="14">
        <f t="shared" ref="U303:U313" si="34">SUM(Q303:S303)</f>
        <v>0</v>
      </c>
      <c r="V303" s="14">
        <f t="shared" si="26"/>
        <v>0</v>
      </c>
      <c r="X303" s="85">
        <f t="shared" ref="X303:X350" si="35">SUMPRODUCT((De=$A303)*(année_refi=$H303),Montant_transfere)</f>
        <v>0</v>
      </c>
      <c r="Y303" s="21">
        <f t="shared" ref="Y303:Y349" si="36">IF(AND(AA303&gt;0,YEAR(C303)&lt;=H303),AA303/AC303,"")</f>
        <v>3.6199999199999999E-2</v>
      </c>
      <c r="AA303" s="55">
        <f t="shared" si="27"/>
        <v>148767.12</v>
      </c>
      <c r="AB303" s="55" t="str">
        <f t="shared" si="28"/>
        <v/>
      </c>
      <c r="AC303" s="55">
        <f t="shared" si="25"/>
        <v>4109589.0410958901</v>
      </c>
    </row>
    <row r="304" spans="1:29">
      <c r="A304" t="s">
        <v>209</v>
      </c>
      <c r="B304" s="16" t="str">
        <f>INDEX(emprunts!C:C,MATCH($A304,emprunts!A:A,0))</f>
        <v>Dexia CL</v>
      </c>
      <c r="C304" s="18">
        <f>INDEX(emprunts!M:M,MATCH($A304,emprunts!$A:$A,0))</f>
        <v>38849</v>
      </c>
      <c r="D304" s="18">
        <f>IF(INDEX(emprunts!O:O,MATCH($A304,emprunts!$A:$A,0))="",INDEX(emprunts!N:N,MATCH($A304,emprunts!$A:$A,0)),MIN(INDEX(emprunts!N:N,MATCH($A304,emprunts!$A:$A,0)),INDEX(emprunts!O:O,MATCH($A304,emprunts!$A:$A,0))))</f>
        <v>39539</v>
      </c>
      <c r="E304" s="52">
        <f>INDEX(emprunts!I:I,MATCH($A304,emprunts!$A:$A,0))</f>
        <v>16.670000000000002</v>
      </c>
      <c r="F304" s="18" t="str">
        <f>INDEX(emprunts!P:P,MATCH($A304,emprunts!$A:$A,0))</f>
        <v>Fixe</v>
      </c>
      <c r="G304" s="126" t="str">
        <f>IF(LEFT(A304,3)="vx_","vx",INDEX(Categorie,MATCH($A304,emprunts!$A$2:$A$149,0)))</f>
        <v>Non_st</v>
      </c>
      <c r="H304">
        <v>2006</v>
      </c>
      <c r="I304">
        <f t="shared" si="33"/>
        <v>1</v>
      </c>
      <c r="N304" s="58"/>
      <c r="O304" s="58">
        <v>7500000</v>
      </c>
      <c r="Q304" s="14"/>
      <c r="R304" s="14"/>
      <c r="S304" s="14"/>
      <c r="T304" s="14"/>
      <c r="U304" s="14">
        <f t="shared" si="34"/>
        <v>0</v>
      </c>
      <c r="V304" s="14">
        <f t="shared" si="26"/>
        <v>0</v>
      </c>
      <c r="X304" s="85">
        <f t="shared" si="35"/>
        <v>0</v>
      </c>
      <c r="Y304" s="21" t="str">
        <f t="shared" si="36"/>
        <v/>
      </c>
      <c r="Z304" t="s">
        <v>577</v>
      </c>
      <c r="AA304" s="55">
        <f t="shared" si="27"/>
        <v>0</v>
      </c>
      <c r="AB304" s="55" t="str">
        <f t="shared" si="28"/>
        <v/>
      </c>
      <c r="AC304" s="55">
        <f t="shared" ref="AC304:AC350" si="37">MAX(0,(C304-DATE(H304,1,1))/365)*0+MAX(0,MIN(1,(MIN(DATE(H304,12,31),D304)-MAX(DATE(H304,1,1),C304))/365))*(O304+X304+R304/2)</f>
        <v>4787671.2328767125</v>
      </c>
    </row>
    <row r="305" spans="1:29">
      <c r="A305" t="s">
        <v>211</v>
      </c>
      <c r="B305" s="16" t="str">
        <f>INDEX(emprunts!C:C,MATCH($A305,emprunts!A:A,0))</f>
        <v>Dexia CL</v>
      </c>
      <c r="C305" s="18">
        <f>INDEX(emprunts!M:M,MATCH($A305,emprunts!$A:$A,0))</f>
        <v>38899</v>
      </c>
      <c r="D305" s="18">
        <f>IF(INDEX(emprunts!O:O,MATCH($A305,emprunts!$A:$A,0))="",INDEX(emprunts!N:N,MATCH($A305,emprunts!$A:$A,0)),MIN(INDEX(emprunts!N:N,MATCH($A305,emprunts!$A:$A,0)),INDEX(emprunts!O:O,MATCH($A305,emprunts!$A:$A,0))))</f>
        <v>40737</v>
      </c>
      <c r="E305" s="52">
        <f>INDEX(emprunts!I:I,MATCH($A305,emprunts!$A:$A,0))</f>
        <v>20</v>
      </c>
      <c r="F305" s="18" t="str">
        <f>INDEX(emprunts!P:P,MATCH($A305,emprunts!$A:$A,0))</f>
        <v>Change</v>
      </c>
      <c r="G305" s="126" t="str">
        <f>IF(LEFT(A305,3)="vx_","vx",INDEX(Categorie,MATCH($A305,emprunts!$A$2:$A$149,0)))</f>
        <v>Struct</v>
      </c>
      <c r="H305">
        <v>2006</v>
      </c>
      <c r="I305">
        <f t="shared" si="33"/>
        <v>1</v>
      </c>
      <c r="N305" s="58"/>
      <c r="O305" s="58">
        <v>16517587</v>
      </c>
      <c r="P305" s="4">
        <v>3.9975000000000004E-2</v>
      </c>
      <c r="Q305" s="14">
        <v>0</v>
      </c>
      <c r="R305" s="14">
        <v>0</v>
      </c>
      <c r="S305" s="14"/>
      <c r="T305" s="14">
        <v>330819.74</v>
      </c>
      <c r="U305" s="14">
        <f t="shared" si="34"/>
        <v>0</v>
      </c>
      <c r="V305" s="14">
        <f t="shared" si="26"/>
        <v>0</v>
      </c>
      <c r="X305" s="85">
        <f t="shared" si="35"/>
        <v>0</v>
      </c>
      <c r="Y305" s="21">
        <f t="shared" si="36"/>
        <v>3.9947222427702267E-2</v>
      </c>
      <c r="AA305" s="55">
        <f t="shared" si="27"/>
        <v>330819.74</v>
      </c>
      <c r="AB305" s="55" t="str">
        <f t="shared" si="28"/>
        <v/>
      </c>
      <c r="AC305" s="55">
        <f t="shared" si="37"/>
        <v>8281420.3315068502</v>
      </c>
    </row>
    <row r="306" spans="1:29">
      <c r="A306" t="s">
        <v>213</v>
      </c>
      <c r="B306" s="16" t="str">
        <f>INDEX(emprunts!C:C,MATCH($A306,emprunts!A:A,0))</f>
        <v>Dexia CL</v>
      </c>
      <c r="C306" s="18">
        <f>INDEX(emprunts!M:M,MATCH($A306,emprunts!$A:$A,0))</f>
        <v>38899</v>
      </c>
      <c r="D306" s="18">
        <f>IF(INDEX(emprunts!O:O,MATCH($A306,emprunts!$A:$A,0))="",INDEX(emprunts!N:N,MATCH($A306,emprunts!$A:$A,0)),MIN(INDEX(emprunts!N:N,MATCH($A306,emprunts!$A:$A,0)),INDEX(emprunts!O:O,MATCH($A306,emprunts!$A:$A,0))))</f>
        <v>39783</v>
      </c>
      <c r="E306" s="52">
        <f>INDEX(emprunts!I:I,MATCH($A306,emprunts!$A:$A,0))</f>
        <v>19.75</v>
      </c>
      <c r="F306" s="18" t="str">
        <f>INDEX(emprunts!P:P,MATCH($A306,emprunts!$A:$A,0))</f>
        <v>Pente</v>
      </c>
      <c r="G306" s="126" t="str">
        <f>IF(LEFT(A306,3)="vx_","vx",INDEX(Categorie,MATCH($A306,emprunts!$A$2:$A$149,0)))</f>
        <v>Struct</v>
      </c>
      <c r="H306">
        <v>2006</v>
      </c>
      <c r="I306">
        <f t="shared" si="33"/>
        <v>1</v>
      </c>
      <c r="N306" s="58"/>
      <c r="O306" s="58">
        <v>14054467</v>
      </c>
      <c r="P306" s="4">
        <v>3.1600000000000003E-2</v>
      </c>
      <c r="Q306" s="14">
        <v>0</v>
      </c>
      <c r="R306" s="14">
        <v>0</v>
      </c>
      <c r="S306" s="14"/>
      <c r="T306" s="14">
        <v>225761.6</v>
      </c>
      <c r="U306" s="14">
        <f t="shared" si="34"/>
        <v>0</v>
      </c>
      <c r="V306" s="14">
        <f t="shared" si="26"/>
        <v>0</v>
      </c>
      <c r="X306" s="85">
        <f t="shared" si="35"/>
        <v>0</v>
      </c>
      <c r="Y306" s="21">
        <f t="shared" si="36"/>
        <v>3.203889055733275E-2</v>
      </c>
      <c r="AA306" s="55">
        <f t="shared" si="27"/>
        <v>225761.6</v>
      </c>
      <c r="AB306" s="55" t="str">
        <f t="shared" si="28"/>
        <v/>
      </c>
      <c r="AC306" s="55">
        <f t="shared" si="37"/>
        <v>7046486.1945205489</v>
      </c>
    </row>
    <row r="307" spans="1:29">
      <c r="A307" t="s">
        <v>215</v>
      </c>
      <c r="B307" s="16" t="str">
        <f>INDEX(emprunts!C:C,MATCH($A307,emprunts!A:A,0))</f>
        <v>Dexia CL</v>
      </c>
      <c r="C307" s="18">
        <f>INDEX(emprunts!M:M,MATCH($A307,emprunts!$A:$A,0))</f>
        <v>38991</v>
      </c>
      <c r="D307" s="18">
        <f>IF(INDEX(emprunts!O:O,MATCH($A307,emprunts!$A:$A,0))="",INDEX(emprunts!N:N,MATCH($A307,emprunts!$A:$A,0)),MIN(INDEX(emprunts!N:N,MATCH($A307,emprunts!$A:$A,0)),INDEX(emprunts!O:O,MATCH($A307,emprunts!$A:$A,0))))</f>
        <v>40087</v>
      </c>
      <c r="E307" s="52">
        <f>INDEX(emprunts!I:I,MATCH($A307,emprunts!$A:$A,0))</f>
        <v>19</v>
      </c>
      <c r="F307" s="18" t="str">
        <f>INDEX(emprunts!P:P,MATCH($A307,emprunts!$A:$A,0))</f>
        <v>Change</v>
      </c>
      <c r="G307" s="126" t="str">
        <f>IF(LEFT(A307,3)="vx_","vx",INDEX(Categorie,MATCH($A307,emprunts!$A$2:$A$149,0)))</f>
        <v>Struct</v>
      </c>
      <c r="H307">
        <v>2006</v>
      </c>
      <c r="I307">
        <f t="shared" si="33"/>
        <v>1</v>
      </c>
      <c r="N307" s="58"/>
      <c r="O307" s="58">
        <v>8533804</v>
      </c>
      <c r="P307" s="4">
        <v>3.6378000000000001E-2</v>
      </c>
      <c r="Q307" s="14">
        <v>23877.37</v>
      </c>
      <c r="R307" s="14">
        <v>0</v>
      </c>
      <c r="S307" s="14"/>
      <c r="T307" s="14">
        <v>25530.3</v>
      </c>
      <c r="U307" s="14">
        <f t="shared" si="34"/>
        <v>23877.37</v>
      </c>
      <c r="V307" s="14">
        <f t="shared" si="26"/>
        <v>0</v>
      </c>
      <c r="X307" s="85">
        <f t="shared" si="35"/>
        <v>0</v>
      </c>
      <c r="Y307" s="21">
        <f t="shared" si="36"/>
        <v>2.3222190412220789E-2</v>
      </c>
      <c r="AA307" s="55">
        <f t="shared" si="27"/>
        <v>49407.67</v>
      </c>
      <c r="AB307" s="55" t="str">
        <f t="shared" si="28"/>
        <v/>
      </c>
      <c r="AC307" s="55">
        <f t="shared" si="37"/>
        <v>2127605.9287671233</v>
      </c>
    </row>
    <row r="308" spans="1:29">
      <c r="A308" s="1" t="s">
        <v>461</v>
      </c>
      <c r="B308" s="16" t="str">
        <f>INDEX(emprunts!C:C,MATCH($A308,emprunts!A:A,0))</f>
        <v>Dexia CL</v>
      </c>
      <c r="C308" s="18">
        <f>INDEX(emprunts!M:M,MATCH($A308,emprunts!$A:$A,0))</f>
        <v>38805</v>
      </c>
      <c r="D308" s="18">
        <f>IF(INDEX(emprunts!O:O,MATCH($A308,emprunts!$A:$A,0))="",INDEX(emprunts!N:N,MATCH($A308,emprunts!$A:$A,0)),MIN(INDEX(emprunts!N:N,MATCH($A308,emprunts!$A:$A,0)),INDEX(emprunts!O:O,MATCH($A308,emprunts!$A:$A,0))))</f>
        <v>39114</v>
      </c>
      <c r="E308" s="52">
        <f>INDEX(emprunts!I:I,MATCH($A308,emprunts!$A:$A,0))</f>
        <v>19.079999999999998</v>
      </c>
      <c r="F308" s="18" t="str">
        <f>INDEX(emprunts!P:P,MATCH($A308,emprunts!$A:$A,0))</f>
        <v>Pente</v>
      </c>
      <c r="G308" s="126" t="str">
        <f>IF(LEFT(A308,3)="vx_","vx",INDEX(Categorie,MATCH($A308,emprunts!$A$2:$A$149,0)))</f>
        <v>Struct</v>
      </c>
      <c r="H308">
        <v>2006</v>
      </c>
      <c r="I308">
        <f t="shared" si="33"/>
        <v>1</v>
      </c>
      <c r="K308" t="s">
        <v>155</v>
      </c>
      <c r="N308" s="58">
        <v>10344246.199999999</v>
      </c>
      <c r="O308" s="58">
        <v>7343608</v>
      </c>
      <c r="P308" s="4">
        <v>3.6380000000000003E-2</v>
      </c>
      <c r="Q308" s="14">
        <v>20547.240000000002</v>
      </c>
      <c r="R308" s="14">
        <v>0</v>
      </c>
      <c r="S308" s="14"/>
      <c r="T308" s="14">
        <v>21969.63</v>
      </c>
      <c r="U308" s="14">
        <f t="shared" si="34"/>
        <v>20547.240000000002</v>
      </c>
      <c r="V308" s="14">
        <f t="shared" si="26"/>
        <v>0</v>
      </c>
      <c r="X308" s="85">
        <f t="shared" si="35"/>
        <v>0</v>
      </c>
      <c r="Y308" s="21">
        <f t="shared" si="36"/>
        <v>7.6289522093954763E-3</v>
      </c>
      <c r="AA308" s="55">
        <f t="shared" si="27"/>
        <v>42516.87</v>
      </c>
      <c r="AB308" s="55" t="str">
        <f t="shared" si="28"/>
        <v/>
      </c>
      <c r="AC308" s="55">
        <f t="shared" si="37"/>
        <v>5573094.2904109592</v>
      </c>
    </row>
    <row r="309" spans="1:29">
      <c r="A309" t="s">
        <v>217</v>
      </c>
      <c r="B309" s="16" t="str">
        <f>INDEX(emprunts!C:C,MATCH($A309,emprunts!A:A,0))</f>
        <v>Dexia CL</v>
      </c>
      <c r="C309" s="18">
        <f>INDEX(emprunts!M:M,MATCH($A309,emprunts!$A:$A,0))</f>
        <v>38991</v>
      </c>
      <c r="D309" s="18">
        <f>IF(INDEX(emprunts!O:O,MATCH($A309,emprunts!$A:$A,0))="",INDEX(emprunts!N:N,MATCH($A309,emprunts!$A:$A,0)),MIN(INDEX(emprunts!N:N,MATCH($A309,emprunts!$A:$A,0)),INDEX(emprunts!O:O,MATCH($A309,emprunts!$A:$A,0))))</f>
        <v>39783</v>
      </c>
      <c r="E309" s="52">
        <f>INDEX(emprunts!I:I,MATCH($A309,emprunts!$A:$A,0))</f>
        <v>19.170000000000002</v>
      </c>
      <c r="F309" s="18" t="str">
        <f>INDEX(emprunts!P:P,MATCH($A309,emprunts!$A:$A,0))</f>
        <v>Change</v>
      </c>
      <c r="G309" s="126" t="str">
        <f>IF(LEFT(A309,3)="vx_","vx",INDEX(Categorie,MATCH($A309,emprunts!$A$2:$A$149,0)))</f>
        <v>Struct</v>
      </c>
      <c r="H309">
        <v>2006</v>
      </c>
      <c r="I309">
        <f t="shared" si="33"/>
        <v>1</v>
      </c>
      <c r="N309" s="58"/>
      <c r="O309" s="58">
        <v>8511853</v>
      </c>
      <c r="P309" s="4">
        <v>3.6380000000000003E-2</v>
      </c>
      <c r="Q309" s="14">
        <v>23815.95</v>
      </c>
      <c r="R309" s="14">
        <v>0</v>
      </c>
      <c r="S309" s="14"/>
      <c r="T309" s="14">
        <v>25464.63</v>
      </c>
      <c r="U309" s="14">
        <f t="shared" si="34"/>
        <v>23815.95</v>
      </c>
      <c r="V309" s="14">
        <f t="shared" si="26"/>
        <v>0</v>
      </c>
      <c r="X309" s="85">
        <f t="shared" si="35"/>
        <v>0</v>
      </c>
      <c r="Y309" s="21">
        <f t="shared" si="36"/>
        <v>2.3222189673055307E-2</v>
      </c>
      <c r="AA309" s="55">
        <f t="shared" si="27"/>
        <v>49280.58</v>
      </c>
      <c r="AB309" s="55" t="str">
        <f t="shared" si="28"/>
        <v/>
      </c>
      <c r="AC309" s="55">
        <f t="shared" si="37"/>
        <v>2122133.2136986302</v>
      </c>
    </row>
    <row r="310" spans="1:29">
      <c r="A310" s="1" t="s">
        <v>501</v>
      </c>
      <c r="B310" s="16" t="str">
        <f>INDEX(emprunts!C:C,MATCH($A310,emprunts!A:A,0))</f>
        <v>Société Générale</v>
      </c>
      <c r="C310" s="18">
        <f>INDEX(emprunts!M:M,MATCH($A310,emprunts!$A:$A,0))</f>
        <v>39043</v>
      </c>
      <c r="D310" s="18">
        <f>IF(INDEX(emprunts!O:O,MATCH($A310,emprunts!$A:$A,0))="",INDEX(emprunts!N:N,MATCH($A310,emprunts!$A:$A,0)),MIN(INDEX(emprunts!N:N,MATCH($A310,emprunts!$A:$A,0)),INDEX(emprunts!O:O,MATCH($A310,emprunts!$A:$A,0))))</f>
        <v>39356</v>
      </c>
      <c r="E310" s="52">
        <f>INDEX(emprunts!I:I,MATCH($A310,emprunts!$A:$A,0))</f>
        <v>20</v>
      </c>
      <c r="F310" s="18" t="str">
        <f>INDEX(emprunts!P:P,MATCH($A310,emprunts!$A:$A,0))</f>
        <v>Variable</v>
      </c>
      <c r="G310" s="126" t="str">
        <f>IF(LEFT(A310,3)="vx_","vx",INDEX(Categorie,MATCH($A310,emprunts!$A$2:$A$149,0)))</f>
        <v>Non_st</v>
      </c>
      <c r="H310">
        <v>2006</v>
      </c>
      <c r="I310">
        <f t="shared" ref="I310" si="38">1*(C310&lt;DATE(H310,12,31))</f>
        <v>1</v>
      </c>
      <c r="N310" s="58">
        <v>10000000</v>
      </c>
      <c r="O310" s="58">
        <v>8000000</v>
      </c>
      <c r="P310" s="4">
        <v>3.7793E-2</v>
      </c>
      <c r="Q310" s="14">
        <v>0</v>
      </c>
      <c r="R310" s="14">
        <v>0</v>
      </c>
      <c r="S310" s="14"/>
      <c r="T310" s="14">
        <v>23669.89</v>
      </c>
      <c r="U310" s="14">
        <f t="shared" ref="U310" si="39">SUM(Q310:S310)</f>
        <v>0</v>
      </c>
      <c r="V310" s="14">
        <f t="shared" si="26"/>
        <v>0</v>
      </c>
      <c r="X310" s="85">
        <f t="shared" si="35"/>
        <v>0</v>
      </c>
      <c r="Y310" s="21">
        <f t="shared" si="36"/>
        <v>2.7690736698717945E-2</v>
      </c>
      <c r="Z310" t="s">
        <v>633</v>
      </c>
      <c r="AA310" s="55">
        <f t="shared" si="27"/>
        <v>23669.89</v>
      </c>
      <c r="AB310" s="55" t="str">
        <f t="shared" si="28"/>
        <v/>
      </c>
      <c r="AC310" s="55">
        <f t="shared" si="37"/>
        <v>854794.52054794529</v>
      </c>
    </row>
    <row r="311" spans="1:29">
      <c r="A311" t="s">
        <v>503</v>
      </c>
      <c r="B311" s="16" t="str">
        <f>INDEX(emprunts!C:C,MATCH($A311,emprunts!A:A,0))</f>
        <v>Société Générale</v>
      </c>
      <c r="C311" s="18">
        <f>INDEX(emprunts!M:M,MATCH($A311,emprunts!$A:$A,0))</f>
        <v>39356</v>
      </c>
      <c r="D311" s="18">
        <f>IF(INDEX(emprunts!O:O,MATCH($A311,emprunts!$A:$A,0))="",INDEX(emprunts!N:N,MATCH($A311,emprunts!$A:$A,0)),MIN(INDEX(emprunts!N:N,MATCH($A311,emprunts!$A:$A,0)),INDEX(emprunts!O:O,MATCH($A311,emprunts!$A:$A,0))))</f>
        <v>40513</v>
      </c>
      <c r="E311" s="52">
        <f>INDEX(emprunts!I:I,MATCH($A311,emprunts!$A:$A,0))</f>
        <v>20</v>
      </c>
      <c r="F311" s="18" t="str">
        <f>INDEX(emprunts!P:P,MATCH($A311,emprunts!$A:$A,0))</f>
        <v>Barrière avec multiplicateur</v>
      </c>
      <c r="G311" s="126" t="str">
        <f>IF(LEFT(A311,3)="vx_","vx",INDEX(Categorie,MATCH($A311,emprunts!$A$2:$A$149,0)))</f>
        <v>Struct</v>
      </c>
      <c r="H311">
        <v>2006</v>
      </c>
      <c r="I311">
        <f t="shared" si="33"/>
        <v>0</v>
      </c>
      <c r="N311"/>
      <c r="O311" s="58">
        <v>0</v>
      </c>
      <c r="Q311" s="14">
        <v>0</v>
      </c>
      <c r="R311" s="14">
        <v>0</v>
      </c>
      <c r="S311" s="14"/>
      <c r="T311" s="14"/>
      <c r="U311" s="14">
        <f t="shared" si="34"/>
        <v>0</v>
      </c>
      <c r="V311" s="14">
        <f t="shared" si="26"/>
        <v>0</v>
      </c>
      <c r="X311" s="85">
        <f t="shared" si="35"/>
        <v>0</v>
      </c>
      <c r="Y311" s="21" t="str">
        <f t="shared" si="36"/>
        <v/>
      </c>
      <c r="AA311" s="55">
        <f t="shared" si="27"/>
        <v>0</v>
      </c>
      <c r="AB311" s="55">
        <f t="shared" si="28"/>
        <v>0</v>
      </c>
      <c r="AC311" s="55">
        <f t="shared" si="37"/>
        <v>0</v>
      </c>
    </row>
    <row r="312" spans="1:29">
      <c r="A312" t="s">
        <v>502</v>
      </c>
      <c r="B312" s="16" t="str">
        <f>INDEX(emprunts!C:C,MATCH($A312,emprunts!A:A,0))</f>
        <v>Société Générale</v>
      </c>
      <c r="C312" s="18">
        <f>INDEX(emprunts!M:M,MATCH($A312,emprunts!$A:$A,0))</f>
        <v>39356</v>
      </c>
      <c r="D312" s="18">
        <f>IF(INDEX(emprunts!O:O,MATCH($A312,emprunts!$A:$A,0))="",INDEX(emprunts!N:N,MATCH($A312,emprunts!$A:$A,0)),MIN(INDEX(emprunts!N:N,MATCH($A312,emprunts!$A:$A,0)),INDEX(emprunts!O:O,MATCH($A312,emprunts!$A:$A,0))))</f>
        <v>40452</v>
      </c>
      <c r="E312" s="52">
        <f>INDEX(emprunts!I:I,MATCH($A312,emprunts!$A:$A,0))</f>
        <v>20.079999999999998</v>
      </c>
      <c r="F312" s="18" t="str">
        <f>INDEX(emprunts!P:P,MATCH($A312,emprunts!$A:$A,0))</f>
        <v>Écart d'inflation</v>
      </c>
      <c r="G312" s="126" t="str">
        <f>IF(LEFT(A312,3)="vx_","vx",INDEX(Categorie,MATCH($A312,emprunts!$A$2:$A$149,0)))</f>
        <v>Struct</v>
      </c>
      <c r="H312">
        <v>2006</v>
      </c>
      <c r="I312">
        <f t="shared" si="33"/>
        <v>0</v>
      </c>
      <c r="N312"/>
      <c r="O312" s="58">
        <v>0</v>
      </c>
      <c r="Q312" s="14">
        <v>0</v>
      </c>
      <c r="R312" s="14">
        <v>0</v>
      </c>
      <c r="S312" s="14"/>
      <c r="T312" s="14"/>
      <c r="U312" s="14">
        <f t="shared" si="34"/>
        <v>0</v>
      </c>
      <c r="V312" s="14">
        <f t="shared" si="26"/>
        <v>0</v>
      </c>
      <c r="X312" s="85">
        <f t="shared" si="35"/>
        <v>0</v>
      </c>
      <c r="Y312" s="21" t="str">
        <f t="shared" si="36"/>
        <v/>
      </c>
      <c r="AA312" s="55">
        <f t="shared" si="27"/>
        <v>0</v>
      </c>
      <c r="AB312" s="55">
        <f t="shared" si="28"/>
        <v>0</v>
      </c>
      <c r="AC312" s="55">
        <f t="shared" si="37"/>
        <v>0</v>
      </c>
    </row>
    <row r="313" spans="1:29">
      <c r="A313" t="s">
        <v>222</v>
      </c>
      <c r="B313" s="16" t="str">
        <f>INDEX(emprunts!C:C,MATCH($A313,emprunts!A:A,0))</f>
        <v>Dexia CL</v>
      </c>
      <c r="C313" s="18">
        <f>INDEX(emprunts!M:M,MATCH($A313,emprunts!$A:$A,0))</f>
        <v>39114</v>
      </c>
      <c r="D313" s="18">
        <f>IF(INDEX(emprunts!O:O,MATCH($A313,emprunts!$A:$A,0))="",INDEX(emprunts!N:N,MATCH($A313,emprunts!$A:$A,0)),MIN(INDEX(emprunts!N:N,MATCH($A313,emprunts!$A:$A,0)),INDEX(emprunts!O:O,MATCH($A313,emprunts!$A:$A,0))))</f>
        <v>39668</v>
      </c>
      <c r="E313" s="52">
        <f>INDEX(emprunts!I:I,MATCH($A313,emprunts!$A:$A,0))</f>
        <v>18.75</v>
      </c>
      <c r="F313" s="18" t="str">
        <f>INDEX(emprunts!P:P,MATCH($A313,emprunts!$A:$A,0))</f>
        <v>Change</v>
      </c>
      <c r="G313" s="126" t="str">
        <f>IF(LEFT(A313,3)="vx_","vx",INDEX(Categorie,MATCH($A313,emprunts!$A$2:$A$149,0)))</f>
        <v>Struct</v>
      </c>
      <c r="H313">
        <v>2006</v>
      </c>
      <c r="I313">
        <f t="shared" si="33"/>
        <v>0</v>
      </c>
      <c r="N313"/>
      <c r="O313" s="58">
        <v>0</v>
      </c>
      <c r="Q313" s="14"/>
      <c r="R313" s="14"/>
      <c r="S313" s="14"/>
      <c r="T313" s="14"/>
      <c r="U313" s="14">
        <f t="shared" si="34"/>
        <v>0</v>
      </c>
      <c r="V313" s="14">
        <f t="shared" ref="V313:V375" si="40">IF(U313="","",U313-SUM(Q313:S313))</f>
        <v>0</v>
      </c>
      <c r="X313" s="85">
        <f t="shared" si="35"/>
        <v>0</v>
      </c>
      <c r="Y313" s="21" t="str">
        <f t="shared" si="36"/>
        <v/>
      </c>
      <c r="Z313" t="s">
        <v>575</v>
      </c>
      <c r="AA313" s="55">
        <f t="shared" si="27"/>
        <v>0</v>
      </c>
      <c r="AB313" s="55">
        <f t="shared" si="28"/>
        <v>0</v>
      </c>
      <c r="AC313" s="55">
        <f t="shared" si="37"/>
        <v>0</v>
      </c>
    </row>
    <row r="314" spans="1:29">
      <c r="A314" t="s">
        <v>223</v>
      </c>
      <c r="B314" s="16" t="str">
        <f>INDEX(emprunts!C:C,MATCH($A314,emprunts!A:A,0))</f>
        <v>Crédit Agricole</v>
      </c>
      <c r="C314" s="18">
        <f>INDEX(emprunts!M:M,MATCH($A314,emprunts!$A:$A,0))</f>
        <v>39182</v>
      </c>
      <c r="D314" s="18">
        <f>IF(INDEX(emprunts!O:O,MATCH($A314,emprunts!$A:$A,0))="",INDEX(emprunts!N:N,MATCH($A314,emprunts!$A:$A,0)),MIN(INDEX(emprunts!N:N,MATCH($A314,emprunts!$A:$A,0)),INDEX(emprunts!O:O,MATCH($A314,emprunts!$A:$A,0))))</f>
        <v>46813</v>
      </c>
      <c r="E314" s="52">
        <f>INDEX(emprunts!I:I,MATCH($A314,emprunts!$A:$A,0))</f>
        <v>20</v>
      </c>
      <c r="F314" s="18" t="str">
        <f>INDEX(emprunts!P:P,MATCH($A314,emprunts!$A:$A,0))</f>
        <v>Pente</v>
      </c>
      <c r="G314" s="126" t="str">
        <f>IF(LEFT(A314,3)="vx_","vx",INDEX(Categorie,MATCH($A314,emprunts!$A$2:$A$149,0)))</f>
        <v>Struct</v>
      </c>
      <c r="H314">
        <v>2006</v>
      </c>
      <c r="I314">
        <f t="shared" si="33"/>
        <v>0</v>
      </c>
      <c r="N314"/>
      <c r="O314" s="58"/>
      <c r="Q314" s="14"/>
      <c r="R314" s="14"/>
      <c r="S314" s="14"/>
      <c r="T314" s="14"/>
      <c r="U314" s="14"/>
      <c r="V314" s="14" t="str">
        <f t="shared" si="40"/>
        <v/>
      </c>
      <c r="X314" s="85">
        <f t="shared" si="35"/>
        <v>0</v>
      </c>
      <c r="Y314" s="21" t="str">
        <f t="shared" si="36"/>
        <v/>
      </c>
      <c r="AA314" s="55">
        <f t="shared" si="27"/>
        <v>0</v>
      </c>
      <c r="AB314" s="55">
        <f t="shared" si="28"/>
        <v>0</v>
      </c>
      <c r="AC314" s="55">
        <f t="shared" si="37"/>
        <v>0</v>
      </c>
    </row>
    <row r="315" spans="1:29">
      <c r="A315" t="s">
        <v>227</v>
      </c>
      <c r="B315" s="16" t="str">
        <f>INDEX(emprunts!C:C,MATCH($A315,emprunts!A:A,0))</f>
        <v>Dexia CL</v>
      </c>
      <c r="C315" s="18">
        <f>INDEX(emprunts!M:M,MATCH($A315,emprunts!$A:$A,0))</f>
        <v>39203</v>
      </c>
      <c r="D315" s="18">
        <f>IF(INDEX(emprunts!O:O,MATCH($A315,emprunts!$A:$A,0))="",INDEX(emprunts!N:N,MATCH($A315,emprunts!$A:$A,0)),MIN(INDEX(emprunts!N:N,MATCH($A315,emprunts!$A:$A,0)),INDEX(emprunts!O:O,MATCH($A315,emprunts!$A:$A,0))))</f>
        <v>40176</v>
      </c>
      <c r="E315" s="52">
        <f>INDEX(emprunts!I:I,MATCH($A315,emprunts!$A:$A,0))</f>
        <v>17</v>
      </c>
      <c r="F315" s="18" t="str">
        <f>INDEX(emprunts!P:P,MATCH($A315,emprunts!$A:$A,0))</f>
        <v>Courbes</v>
      </c>
      <c r="G315" s="126" t="str">
        <f>IF(LEFT(A315,3)="vx_","vx",INDEX(Categorie,MATCH($A315,emprunts!$A$2:$A$149,0)))</f>
        <v>Struct</v>
      </c>
      <c r="H315">
        <v>2006</v>
      </c>
      <c r="I315">
        <f t="shared" si="33"/>
        <v>0</v>
      </c>
      <c r="N315"/>
      <c r="O315" s="58"/>
      <c r="Q315" s="14"/>
      <c r="R315" s="14"/>
      <c r="S315" s="14"/>
      <c r="T315" s="14"/>
      <c r="U315" s="14"/>
      <c r="V315" s="14" t="str">
        <f t="shared" si="40"/>
        <v/>
      </c>
      <c r="X315" s="85">
        <f t="shared" si="35"/>
        <v>0</v>
      </c>
      <c r="Y315" s="21" t="str">
        <f t="shared" si="36"/>
        <v/>
      </c>
      <c r="AA315" s="55">
        <f t="shared" ref="AA315:AA378" si="41">T315+Q315+S315-SUMPRODUCT(($A$123:$A$1367=$A315)*($H$123:$H$1367=$H315-1),$T$123:$T$1367)</f>
        <v>0</v>
      </c>
      <c r="AB315" s="55">
        <f t="shared" ref="AB315:AB378" si="42">IF(YEAR(C315)=H315,"",O315+R315+X315-W315-SUMPRODUCT(($A$123:$A$1367=$A315)*($H$123:$H$1367=$H315-1),$O$123:$O$1367))</f>
        <v>0</v>
      </c>
      <c r="AC315" s="55">
        <f t="shared" si="37"/>
        <v>0</v>
      </c>
    </row>
    <row r="316" spans="1:29">
      <c r="A316" t="s">
        <v>231</v>
      </c>
      <c r="B316" s="16" t="str">
        <f>INDEX(emprunts!C:C,MATCH($A316,emprunts!A:A,0))</f>
        <v>Dexia CL</v>
      </c>
      <c r="C316" s="18">
        <f>INDEX(emprunts!M:M,MATCH($A316,emprunts!$A:$A,0))</f>
        <v>39203</v>
      </c>
      <c r="D316" s="18">
        <f>IF(INDEX(emprunts!O:O,MATCH($A316,emprunts!$A:$A,0))="",INDEX(emprunts!N:N,MATCH($A316,emprunts!$A:$A,0)),MIN(INDEX(emprunts!N:N,MATCH($A316,emprunts!$A:$A,0)),INDEX(emprunts!O:O,MATCH($A316,emprunts!$A:$A,0))))</f>
        <v>40176</v>
      </c>
      <c r="E316" s="52">
        <f>INDEX(emprunts!I:I,MATCH($A316,emprunts!$A:$A,0))</f>
        <v>16.920000000000002</v>
      </c>
      <c r="F316" s="18" t="str">
        <f>INDEX(emprunts!P:P,MATCH($A316,emprunts!$A:$A,0))</f>
        <v>Écart d'inflation</v>
      </c>
      <c r="G316" s="126" t="str">
        <f>IF(LEFT(A316,3)="vx_","vx",INDEX(Categorie,MATCH($A316,emprunts!$A$2:$A$149,0)))</f>
        <v>Struct</v>
      </c>
      <c r="H316">
        <v>2006</v>
      </c>
      <c r="I316">
        <f t="shared" si="33"/>
        <v>0</v>
      </c>
      <c r="N316"/>
      <c r="O316" s="58"/>
      <c r="Q316" s="14"/>
      <c r="R316" s="14"/>
      <c r="S316" s="14"/>
      <c r="T316" s="14"/>
      <c r="U316" s="14"/>
      <c r="V316" s="14" t="str">
        <f t="shared" si="40"/>
        <v/>
      </c>
      <c r="X316" s="85">
        <f t="shared" si="35"/>
        <v>0</v>
      </c>
      <c r="Y316" s="21" t="str">
        <f t="shared" si="36"/>
        <v/>
      </c>
      <c r="AA316" s="55">
        <f t="shared" si="41"/>
        <v>0</v>
      </c>
      <c r="AB316" s="55">
        <f t="shared" si="42"/>
        <v>0</v>
      </c>
      <c r="AC316" s="55">
        <f t="shared" si="37"/>
        <v>0</v>
      </c>
    </row>
    <row r="317" spans="1:29">
      <c r="A317" t="s">
        <v>233</v>
      </c>
      <c r="B317" s="16" t="str">
        <f>INDEX(emprunts!C:C,MATCH($A317,emprunts!A:A,0))</f>
        <v>Société Générale</v>
      </c>
      <c r="C317" s="18">
        <f>INDEX(emprunts!M:M,MATCH($A317,emprunts!$A:$A,0))</f>
        <v>39226</v>
      </c>
      <c r="D317" s="18">
        <f>IF(INDEX(emprunts!O:O,MATCH($A317,emprunts!$A:$A,0))="",INDEX(emprunts!N:N,MATCH($A317,emprunts!$A:$A,0)),MIN(INDEX(emprunts!N:N,MATCH($A317,emprunts!$A:$A,0)),INDEX(emprunts!O:O,MATCH($A317,emprunts!$A:$A,0))))</f>
        <v>39904</v>
      </c>
      <c r="E317" s="52">
        <f>INDEX(emprunts!I:I,MATCH($A317,emprunts!$A:$A,0))</f>
        <v>19</v>
      </c>
      <c r="F317" s="18" t="str">
        <f>INDEX(emprunts!P:P,MATCH($A317,emprunts!$A:$A,0))</f>
        <v>Change</v>
      </c>
      <c r="G317" s="126" t="str">
        <f>IF(LEFT(A317,3)="vx_","vx",INDEX(Categorie,MATCH($A317,emprunts!$A$2:$A$149,0)))</f>
        <v>Struct</v>
      </c>
      <c r="H317">
        <v>2006</v>
      </c>
      <c r="I317">
        <f t="shared" si="33"/>
        <v>0</v>
      </c>
      <c r="N317"/>
      <c r="O317" s="58"/>
      <c r="Q317" s="14"/>
      <c r="R317" s="14"/>
      <c r="S317" s="14"/>
      <c r="T317" s="14"/>
      <c r="U317" s="14"/>
      <c r="V317" s="14" t="str">
        <f t="shared" si="40"/>
        <v/>
      </c>
      <c r="X317" s="85">
        <f t="shared" si="35"/>
        <v>0</v>
      </c>
      <c r="Y317" s="21" t="str">
        <f t="shared" si="36"/>
        <v/>
      </c>
      <c r="AA317" s="55">
        <f t="shared" si="41"/>
        <v>0</v>
      </c>
      <c r="AB317" s="55">
        <f t="shared" si="42"/>
        <v>0</v>
      </c>
      <c r="AC317" s="55">
        <f t="shared" si="37"/>
        <v>0</v>
      </c>
    </row>
    <row r="318" spans="1:29">
      <c r="A318" t="s">
        <v>235</v>
      </c>
      <c r="B318" s="16" t="str">
        <f>INDEX(emprunts!C:C,MATCH($A318,emprunts!A:A,0))</f>
        <v>Caisse d'Épargne</v>
      </c>
      <c r="C318" s="18">
        <f>INDEX(emprunts!M:M,MATCH($A318,emprunts!$A:$A,0))</f>
        <v>39288</v>
      </c>
      <c r="D318" s="18">
        <f>IF(INDEX(emprunts!O:O,MATCH($A318,emprunts!$A:$A,0))="",INDEX(emprunts!N:N,MATCH($A318,emprunts!$A:$A,0)),MIN(INDEX(emprunts!N:N,MATCH($A318,emprunts!$A:$A,0)),INDEX(emprunts!O:O,MATCH($A318,emprunts!$A:$A,0))))</f>
        <v>40964</v>
      </c>
      <c r="E318" s="52">
        <f>INDEX(emprunts!I:I,MATCH($A318,emprunts!$A:$A,0))</f>
        <v>18.579999999999998</v>
      </c>
      <c r="F318" s="18" t="str">
        <f>INDEX(emprunts!P:P,MATCH($A318,emprunts!$A:$A,0))</f>
        <v>Courbes</v>
      </c>
      <c r="G318" s="126" t="str">
        <f>IF(LEFT(A318,3)="vx_","vx",INDEX(Categorie,MATCH($A318,emprunts!$A$2:$A$149,0)))</f>
        <v>Struct</v>
      </c>
      <c r="H318">
        <v>2006</v>
      </c>
      <c r="I318">
        <f t="shared" si="33"/>
        <v>0</v>
      </c>
      <c r="N318"/>
      <c r="O318" s="58"/>
      <c r="Q318" s="14"/>
      <c r="R318" s="14"/>
      <c r="S318" s="14"/>
      <c r="T318" s="14"/>
      <c r="U318" s="14"/>
      <c r="V318" s="14" t="str">
        <f t="shared" si="40"/>
        <v/>
      </c>
      <c r="X318" s="85">
        <f t="shared" si="35"/>
        <v>0</v>
      </c>
      <c r="Y318" s="21" t="str">
        <f t="shared" si="36"/>
        <v/>
      </c>
      <c r="AA318" s="55">
        <f t="shared" si="41"/>
        <v>0</v>
      </c>
      <c r="AB318" s="55">
        <f t="shared" si="42"/>
        <v>0</v>
      </c>
      <c r="AC318" s="55">
        <f t="shared" si="37"/>
        <v>0</v>
      </c>
    </row>
    <row r="319" spans="1:29">
      <c r="A319" t="s">
        <v>239</v>
      </c>
      <c r="B319" s="16" t="str">
        <f>INDEX(emprunts!C:C,MATCH($A319,emprunts!A:A,0))</f>
        <v>Dexia CL</v>
      </c>
      <c r="C319" s="18">
        <f>INDEX(emprunts!M:M,MATCH($A319,emprunts!$A:$A,0))</f>
        <v>39324</v>
      </c>
      <c r="D319" s="18">
        <f>IF(INDEX(emprunts!O:O,MATCH($A319,emprunts!$A:$A,0))="",INDEX(emprunts!N:N,MATCH($A319,emprunts!$A:$A,0)),MIN(INDEX(emprunts!N:N,MATCH($A319,emprunts!$A:$A,0)),INDEX(emprunts!O:O,MATCH($A319,emprunts!$A:$A,0))))</f>
        <v>40634</v>
      </c>
      <c r="E319" s="52">
        <f>INDEX(emprunts!I:I,MATCH($A319,emprunts!$A:$A,0))</f>
        <v>25</v>
      </c>
      <c r="F319" s="18" t="str">
        <f>INDEX(emprunts!P:P,MATCH($A319,emprunts!$A:$A,0))</f>
        <v>Courbes</v>
      </c>
      <c r="G319" s="126" t="str">
        <f>IF(LEFT(A319,3)="vx_","vx",INDEX(Categorie,MATCH($A319,emprunts!$A$2:$A$149,0)))</f>
        <v>Struct</v>
      </c>
      <c r="H319">
        <v>2006</v>
      </c>
      <c r="I319">
        <f t="shared" si="33"/>
        <v>0</v>
      </c>
      <c r="N319"/>
      <c r="O319" s="58"/>
      <c r="Q319" s="14"/>
      <c r="R319" s="14"/>
      <c r="S319" s="14"/>
      <c r="T319" s="14"/>
      <c r="U319" s="14"/>
      <c r="V319" s="14" t="str">
        <f t="shared" si="40"/>
        <v/>
      </c>
      <c r="X319" s="85">
        <f t="shared" si="35"/>
        <v>0</v>
      </c>
      <c r="Y319" s="21" t="str">
        <f t="shared" si="36"/>
        <v/>
      </c>
      <c r="AA319" s="55">
        <f t="shared" si="41"/>
        <v>0</v>
      </c>
      <c r="AB319" s="55">
        <f t="shared" si="42"/>
        <v>0</v>
      </c>
      <c r="AC319" s="55">
        <f t="shared" si="37"/>
        <v>0</v>
      </c>
    </row>
    <row r="320" spans="1:29">
      <c r="A320" t="s">
        <v>504</v>
      </c>
      <c r="B320" s="16" t="str">
        <f>INDEX(emprunts!C:C,MATCH($A320,emprunts!A:A,0))</f>
        <v>Société Générale</v>
      </c>
      <c r="C320" s="18">
        <f>INDEX(emprunts!M:M,MATCH($A320,emprunts!$A:$A,0))</f>
        <v>39356</v>
      </c>
      <c r="D320" s="18">
        <f>IF(INDEX(emprunts!O:O,MATCH($A320,emprunts!$A:$A,0))="",INDEX(emprunts!N:N,MATCH($A320,emprunts!$A:$A,0)),MIN(INDEX(emprunts!N:N,MATCH($A320,emprunts!$A:$A,0)),INDEX(emprunts!O:O,MATCH($A320,emprunts!$A:$A,0))))</f>
        <v>40422</v>
      </c>
      <c r="E320" s="52">
        <f>INDEX(emprunts!I:I,MATCH($A320,emprunts!$A:$A,0))</f>
        <v>20</v>
      </c>
      <c r="F320" s="18" t="str">
        <f>INDEX(emprunts!P:P,MATCH($A320,emprunts!$A:$A,0))</f>
        <v>Courbes</v>
      </c>
      <c r="G320" s="126" t="str">
        <f>IF(LEFT(A320,3)="vx_","vx",INDEX(Categorie,MATCH($A320,emprunts!$A$2:$A$149,0)))</f>
        <v>Struct</v>
      </c>
      <c r="H320">
        <v>2006</v>
      </c>
      <c r="I320">
        <f t="shared" si="33"/>
        <v>0</v>
      </c>
      <c r="N320"/>
      <c r="O320" s="58"/>
      <c r="Q320" s="14"/>
      <c r="R320" s="14"/>
      <c r="S320" s="14"/>
      <c r="T320" s="14"/>
      <c r="U320" s="14"/>
      <c r="V320" s="14" t="str">
        <f t="shared" si="40"/>
        <v/>
      </c>
      <c r="X320" s="85">
        <f t="shared" si="35"/>
        <v>0</v>
      </c>
      <c r="Y320" s="21" t="str">
        <f t="shared" si="36"/>
        <v/>
      </c>
      <c r="AA320" s="55">
        <f t="shared" si="41"/>
        <v>0</v>
      </c>
      <c r="AB320" s="55">
        <f t="shared" si="42"/>
        <v>0</v>
      </c>
      <c r="AC320" s="55">
        <f t="shared" si="37"/>
        <v>0</v>
      </c>
    </row>
    <row r="321" spans="1:29">
      <c r="A321" t="s">
        <v>246</v>
      </c>
      <c r="B321" s="16" t="str">
        <f>INDEX(emprunts!C:C,MATCH($A321,emprunts!A:A,0))</f>
        <v>Dexia CL</v>
      </c>
      <c r="C321" s="18">
        <f>INDEX(emprunts!M:M,MATCH($A321,emprunts!$A:$A,0))</f>
        <v>39350</v>
      </c>
      <c r="D321" s="18">
        <f>IF(INDEX(emprunts!O:O,MATCH($A321,emprunts!$A:$A,0))="",INDEX(emprunts!N:N,MATCH($A321,emprunts!$A:$A,0)),MIN(INDEX(emprunts!N:N,MATCH($A321,emprunts!$A:$A,0)),INDEX(emprunts!O:O,MATCH($A321,emprunts!$A:$A,0))))</f>
        <v>40179</v>
      </c>
      <c r="E321" s="52">
        <f>INDEX(emprunts!I:I,MATCH($A321,emprunts!$A:$A,0))</f>
        <v>25.42</v>
      </c>
      <c r="F321" s="18" t="str">
        <f>INDEX(emprunts!P:P,MATCH($A321,emprunts!$A:$A,0))</f>
        <v>Barrière avec multiplicateur</v>
      </c>
      <c r="G321" s="126" t="str">
        <f>IF(LEFT(A321,3)="vx_","vx",INDEX(Categorie,MATCH($A321,emprunts!$A$2:$A$149,0)))</f>
        <v>Struct</v>
      </c>
      <c r="H321">
        <v>2006</v>
      </c>
      <c r="I321">
        <f t="shared" si="33"/>
        <v>0</v>
      </c>
      <c r="N321"/>
      <c r="O321" s="58"/>
      <c r="Q321" s="14"/>
      <c r="R321" s="14"/>
      <c r="S321" s="14"/>
      <c r="T321" s="14"/>
      <c r="U321" s="14"/>
      <c r="V321" s="14" t="str">
        <f t="shared" si="40"/>
        <v/>
      </c>
      <c r="X321" s="85">
        <f t="shared" si="35"/>
        <v>0</v>
      </c>
      <c r="Y321" s="21" t="str">
        <f t="shared" si="36"/>
        <v/>
      </c>
      <c r="AA321" s="55">
        <f t="shared" si="41"/>
        <v>0</v>
      </c>
      <c r="AB321" s="55">
        <f t="shared" si="42"/>
        <v>0</v>
      </c>
      <c r="AC321" s="55">
        <f t="shared" si="37"/>
        <v>0</v>
      </c>
    </row>
    <row r="322" spans="1:29">
      <c r="A322" t="s">
        <v>248</v>
      </c>
      <c r="B322" s="16" t="str">
        <f>INDEX(emprunts!C:C,MATCH($A322,emprunts!A:A,0))</f>
        <v>Dexia CL</v>
      </c>
      <c r="C322" s="18">
        <f>INDEX(emprunts!M:M,MATCH($A322,emprunts!$A:$A,0))</f>
        <v>39539</v>
      </c>
      <c r="D322" s="18">
        <f>IF(INDEX(emprunts!O:O,MATCH($A322,emprunts!$A:$A,0))="",INDEX(emprunts!N:N,MATCH($A322,emprunts!$A:$A,0)),MIN(INDEX(emprunts!N:N,MATCH($A322,emprunts!$A:$A,0)),INDEX(emprunts!O:O,MATCH($A322,emprunts!$A:$A,0))))</f>
        <v>39783</v>
      </c>
      <c r="E322" s="52">
        <f>INDEX(emprunts!I:I,MATCH($A322,emprunts!$A:$A,0))</f>
        <v>26.42</v>
      </c>
      <c r="F322" s="18" t="str">
        <f>INDEX(emprunts!P:P,MATCH($A322,emprunts!$A:$A,0))</f>
        <v>Change</v>
      </c>
      <c r="G322" s="126" t="str">
        <f>IF(LEFT(A322,3)="vx_","vx",INDEX(Categorie,MATCH($A322,emprunts!$A$2:$A$149,0)))</f>
        <v>Struct</v>
      </c>
      <c r="H322">
        <v>2006</v>
      </c>
      <c r="I322">
        <f t="shared" si="33"/>
        <v>0</v>
      </c>
      <c r="N322"/>
      <c r="O322" s="58">
        <v>0</v>
      </c>
      <c r="Q322" s="14">
        <v>0</v>
      </c>
      <c r="R322" s="14">
        <v>0</v>
      </c>
      <c r="S322" s="14"/>
      <c r="T322" s="14">
        <v>0</v>
      </c>
      <c r="U322" s="14">
        <f>SUM(Q322:T322)</f>
        <v>0</v>
      </c>
      <c r="V322" s="14">
        <f t="shared" si="40"/>
        <v>0</v>
      </c>
      <c r="X322" s="85">
        <f t="shared" si="35"/>
        <v>0</v>
      </c>
      <c r="Y322" s="21" t="str">
        <f t="shared" si="36"/>
        <v/>
      </c>
      <c r="Z322" t="s">
        <v>634</v>
      </c>
      <c r="AA322" s="55">
        <f t="shared" si="41"/>
        <v>0</v>
      </c>
      <c r="AB322" s="55">
        <f t="shared" si="42"/>
        <v>0</v>
      </c>
      <c r="AC322" s="55">
        <f t="shared" si="37"/>
        <v>0</v>
      </c>
    </row>
    <row r="323" spans="1:29">
      <c r="A323" t="s">
        <v>250</v>
      </c>
      <c r="B323" s="16" t="str">
        <f>INDEX(emprunts!C:C,MATCH($A323,emprunts!A:A,0))</f>
        <v>Caisse d'Épargne</v>
      </c>
      <c r="C323" s="18">
        <f>INDEX(emprunts!M:M,MATCH($A323,emprunts!$A:$A,0))</f>
        <v>39447</v>
      </c>
      <c r="D323" s="18">
        <f>IF(INDEX(emprunts!O:O,MATCH($A323,emprunts!$A:$A,0))="",INDEX(emprunts!N:N,MATCH($A323,emprunts!$A:$A,0)),MIN(INDEX(emprunts!N:N,MATCH($A323,emprunts!$A:$A,0)),INDEX(emprunts!O:O,MATCH($A323,emprunts!$A:$A,0))))</f>
        <v>41330</v>
      </c>
      <c r="E323" s="52">
        <f>INDEX(emprunts!I:I,MATCH($A323,emprunts!$A:$A,0))</f>
        <v>20</v>
      </c>
      <c r="F323" s="18" t="str">
        <f>INDEX(emprunts!P:P,MATCH($A323,emprunts!$A:$A,0))</f>
        <v>Courbes</v>
      </c>
      <c r="G323" s="126" t="str">
        <f>IF(LEFT(A323,3)="vx_","vx",INDEX(Categorie,MATCH($A323,emprunts!$A$2:$A$149,0)))</f>
        <v>Struct</v>
      </c>
      <c r="H323">
        <v>2006</v>
      </c>
      <c r="I323">
        <f t="shared" si="33"/>
        <v>0</v>
      </c>
      <c r="N323"/>
      <c r="O323" s="58"/>
      <c r="Q323" s="14"/>
      <c r="R323" s="14"/>
      <c r="S323" s="14"/>
      <c r="T323" s="14"/>
      <c r="U323" s="14"/>
      <c r="V323" s="14" t="str">
        <f t="shared" si="40"/>
        <v/>
      </c>
      <c r="X323" s="85">
        <f t="shared" si="35"/>
        <v>0</v>
      </c>
      <c r="Y323" s="21" t="str">
        <f t="shared" si="36"/>
        <v/>
      </c>
      <c r="AA323" s="55">
        <f t="shared" si="41"/>
        <v>0</v>
      </c>
      <c r="AB323" s="55">
        <f t="shared" si="42"/>
        <v>0</v>
      </c>
      <c r="AC323" s="55">
        <f t="shared" si="37"/>
        <v>0</v>
      </c>
    </row>
    <row r="324" spans="1:29">
      <c r="A324" s="1" t="s">
        <v>479</v>
      </c>
      <c r="B324" s="16" t="str">
        <f>INDEX(emprunts!C:C,MATCH($A324,emprunts!A:A,0))</f>
        <v>Caisse d'Épargne</v>
      </c>
      <c r="C324" s="18">
        <f>INDEX(emprunts!M:M,MATCH($A324,emprunts!$A:$A,0))</f>
        <v>39050</v>
      </c>
      <c r="D324" s="18">
        <f>IF(INDEX(emprunts!O:O,MATCH($A324,emprunts!$A:$A,0))="",INDEX(emprunts!N:N,MATCH($A324,emprunts!$A:$A,0)),MIN(INDEX(emprunts!N:N,MATCH($A324,emprunts!$A:$A,0)),INDEX(emprunts!O:O,MATCH($A324,emprunts!$A:$A,0))))</f>
        <v>40142</v>
      </c>
      <c r="E324" s="52">
        <f>INDEX(emprunts!I:I,MATCH($A324,emprunts!$A:$A,0))</f>
        <v>20</v>
      </c>
      <c r="F324" s="18" t="str">
        <f>INDEX(emprunts!P:P,MATCH($A324,emprunts!$A:$A,0))</f>
        <v>Pente</v>
      </c>
      <c r="G324" s="126" t="str">
        <f>IF(LEFT(A324,3)="vx_","vx",INDEX(Categorie,MATCH($A324,emprunts!$A$2:$A$149,0)))</f>
        <v>Struct</v>
      </c>
      <c r="H324">
        <v>2006</v>
      </c>
      <c r="I324">
        <f t="shared" si="33"/>
        <v>1</v>
      </c>
      <c r="N324"/>
      <c r="O324" s="58">
        <v>5000000</v>
      </c>
      <c r="P324" s="4">
        <v>3.3988999999999998E-2</v>
      </c>
      <c r="Q324" s="14">
        <v>0</v>
      </c>
      <c r="R324" s="14">
        <v>0</v>
      </c>
      <c r="S324" s="14"/>
      <c r="T324" s="14">
        <v>14423.61</v>
      </c>
      <c r="U324" s="14">
        <f t="shared" ref="U324" si="43">SUM(Q324:S324)</f>
        <v>0</v>
      </c>
      <c r="V324" s="14">
        <f t="shared" si="40"/>
        <v>0</v>
      </c>
      <c r="X324" s="85">
        <f t="shared" si="35"/>
        <v>0</v>
      </c>
      <c r="Y324" s="21">
        <f t="shared" si="36"/>
        <v>3.2903860312499998E-2</v>
      </c>
      <c r="AA324" s="55">
        <f t="shared" si="41"/>
        <v>14423.61</v>
      </c>
      <c r="AB324" s="55" t="str">
        <f t="shared" si="42"/>
        <v/>
      </c>
      <c r="AC324" s="55">
        <f t="shared" si="37"/>
        <v>438356.16438356164</v>
      </c>
    </row>
    <row r="325" spans="1:29">
      <c r="A325" t="s">
        <v>314</v>
      </c>
      <c r="B325" s="16" t="str">
        <f>INDEX(emprunts!C:C,MATCH($A325,emprunts!A:A,0))</f>
        <v>Société Générale</v>
      </c>
      <c r="C325" s="18">
        <f>INDEX(emprunts!M:M,MATCH($A325,emprunts!$A:$A,0))</f>
        <v>40530</v>
      </c>
      <c r="D325" s="18">
        <f>IF(INDEX(emprunts!O:O,MATCH($A325,emprunts!$A:$A,0))="",INDEX(emprunts!N:N,MATCH($A325,emprunts!$A:$A,0)),MIN(INDEX(emprunts!N:N,MATCH($A325,emprunts!$A:$A,0)),INDEX(emprunts!O:O,MATCH($A325,emprunts!$A:$A,0))))</f>
        <v>46112</v>
      </c>
      <c r="E325" s="52">
        <f>INDEX(emprunts!I:I,MATCH($A325,emprunts!$A:$A,0))</f>
        <v>15</v>
      </c>
      <c r="F325" s="18" t="str">
        <f>INDEX(emprunts!P:P,MATCH($A325,emprunts!$A:$A,0))</f>
        <v>Variable</v>
      </c>
      <c r="G325" s="126" t="str">
        <f>IF(LEFT(A325,3)="vx_","vx",INDEX(Categorie,MATCH($A325,emprunts!$A$2:$A$149,0)))</f>
        <v>Non_st</v>
      </c>
      <c r="H325">
        <v>2006</v>
      </c>
      <c r="I325">
        <f t="shared" si="33"/>
        <v>0</v>
      </c>
      <c r="N325"/>
      <c r="O325" s="58"/>
      <c r="Q325" s="14"/>
      <c r="R325" s="14"/>
      <c r="S325" s="14"/>
      <c r="T325" s="14"/>
      <c r="U325" s="14"/>
      <c r="V325" s="14" t="str">
        <f t="shared" si="40"/>
        <v/>
      </c>
      <c r="X325" s="85">
        <f t="shared" si="35"/>
        <v>0</v>
      </c>
      <c r="Y325" s="21" t="str">
        <f t="shared" si="36"/>
        <v/>
      </c>
      <c r="AA325" s="55">
        <f t="shared" si="41"/>
        <v>0</v>
      </c>
      <c r="AB325" s="55">
        <f t="shared" si="42"/>
        <v>0</v>
      </c>
      <c r="AC325" s="55">
        <f t="shared" si="37"/>
        <v>0</v>
      </c>
    </row>
    <row r="326" spans="1:29">
      <c r="A326" s="1" t="s">
        <v>487</v>
      </c>
      <c r="B326" s="16" t="str">
        <f>INDEX(emprunts!C:C,MATCH($A326,emprunts!A:A,0))</f>
        <v>Dexia CL</v>
      </c>
      <c r="C326" s="18">
        <f>INDEX(emprunts!M:M,MATCH($A326,emprunts!$A:$A,0))</f>
        <v>40737</v>
      </c>
      <c r="D326" s="18">
        <f>IF(INDEX(emprunts!O:O,MATCH($A326,emprunts!$A:$A,0))="",INDEX(emprunts!N:N,MATCH($A326,emprunts!$A:$A,0)),MIN(INDEX(emprunts!N:N,MATCH($A326,emprunts!$A:$A,0)),INDEX(emprunts!O:O,MATCH($A326,emprunts!$A:$A,0))))</f>
        <v>42644</v>
      </c>
      <c r="E326" s="52">
        <f>INDEX(emprunts!I:I,MATCH($A326,emprunts!$A:$A,0))</f>
        <v>15</v>
      </c>
      <c r="F326" s="18" t="str">
        <f>INDEX(emprunts!P:P,MATCH($A326,emprunts!$A:$A,0))</f>
        <v>Change</v>
      </c>
      <c r="G326" s="126" t="str">
        <f>IF(LEFT(A326,3)="vx_","vx",INDEX(Categorie,MATCH($A326,emprunts!$A$2:$A$149,0)))</f>
        <v>Struct</v>
      </c>
      <c r="H326">
        <v>2006</v>
      </c>
      <c r="I326">
        <f t="shared" si="33"/>
        <v>0</v>
      </c>
      <c r="N326" s="58"/>
      <c r="O326" s="58"/>
      <c r="Q326" s="14"/>
      <c r="R326" s="14"/>
      <c r="S326" s="14"/>
      <c r="T326" s="14"/>
      <c r="U326" s="14"/>
      <c r="V326" s="14" t="str">
        <f t="shared" si="40"/>
        <v/>
      </c>
      <c r="X326" s="85">
        <f t="shared" si="35"/>
        <v>0</v>
      </c>
      <c r="Y326" s="21" t="str">
        <f t="shared" si="36"/>
        <v/>
      </c>
      <c r="AA326" s="55">
        <f t="shared" si="41"/>
        <v>0</v>
      </c>
      <c r="AB326" s="55">
        <f t="shared" si="42"/>
        <v>0</v>
      </c>
      <c r="AC326" s="55">
        <f t="shared" si="37"/>
        <v>0</v>
      </c>
    </row>
    <row r="327" spans="1:29">
      <c r="A327" s="1" t="s">
        <v>540</v>
      </c>
      <c r="B327" s="16" t="str">
        <f>INDEX(emprunts!C:C,MATCH($A327,emprunts!A:A,0))</f>
        <v>Crédit Mutuel</v>
      </c>
      <c r="C327" s="18">
        <f>INDEX(emprunts!M:M,MATCH($A327,emprunts!$A:$A,0))</f>
        <v>36495</v>
      </c>
      <c r="D327" s="18">
        <f>IF(INDEX(emprunts!O:O,MATCH($A327,emprunts!$A:$A,0))="",INDEX(emprunts!N:N,MATCH($A327,emprunts!$A:$A,0)),MIN(INDEX(emprunts!N:N,MATCH($A327,emprunts!$A:$A,0)),INDEX(emprunts!O:O,MATCH($A327,emprunts!$A:$A,0))))</f>
        <v>41973</v>
      </c>
      <c r="E327" s="52">
        <f>INDEX(emprunts!I:I,MATCH($A327,emprunts!$A:$A,0))</f>
        <v>15</v>
      </c>
      <c r="F327" s="18" t="str">
        <f>INDEX(emprunts!P:P,MATCH($A327,emprunts!$A:$A,0))</f>
        <v>Fixe à phase</v>
      </c>
      <c r="G327" s="126" t="str">
        <f>IF(LEFT(A327,3)="vx_","vx",INDEX(Categorie,MATCH($A327,emprunts!$A$2:$A$149,0)))</f>
        <v>Non_st</v>
      </c>
      <c r="H327" s="6">
        <v>2007</v>
      </c>
      <c r="I327">
        <f t="shared" si="33"/>
        <v>1</v>
      </c>
      <c r="J327" s="4"/>
      <c r="K327" t="s">
        <v>155</v>
      </c>
      <c r="L327" s="5">
        <v>36860</v>
      </c>
      <c r="M327" s="5">
        <v>36860</v>
      </c>
      <c r="N327" s="14">
        <v>1524490.17</v>
      </c>
      <c r="O327" s="14">
        <v>952848</v>
      </c>
      <c r="P327" s="4">
        <v>3.5249999999999997E-2</v>
      </c>
      <c r="Q327" s="14">
        <v>37755.26</v>
      </c>
      <c r="R327" s="14">
        <v>118223.21</v>
      </c>
      <c r="S327" s="14"/>
      <c r="T327" s="14">
        <v>2844.88</v>
      </c>
      <c r="U327" s="14">
        <f t="shared" ref="U327:U339" si="44">SUM(Q327:S327)</f>
        <v>155978.47</v>
      </c>
      <c r="V327" s="14">
        <f t="shared" si="40"/>
        <v>0</v>
      </c>
      <c r="W327" s="85"/>
      <c r="X327" s="85">
        <f t="shared" si="35"/>
        <v>0</v>
      </c>
      <c r="Y327" s="21">
        <f t="shared" si="36"/>
        <v>3.7053118813000427E-2</v>
      </c>
      <c r="AA327" s="55">
        <f t="shared" si="41"/>
        <v>37393.53</v>
      </c>
      <c r="AB327" s="55">
        <f t="shared" si="42"/>
        <v>0.2099999999627471</v>
      </c>
      <c r="AC327" s="55">
        <f t="shared" si="37"/>
        <v>1009187.1129315068</v>
      </c>
    </row>
    <row r="328" spans="1:29">
      <c r="A328" t="s">
        <v>10</v>
      </c>
      <c r="B328" s="16" t="str">
        <f>INDEX(emprunts!C:C,MATCH($A328,emprunts!A:A,0))</f>
        <v>Crédit Mutuel</v>
      </c>
      <c r="C328" s="18">
        <f>INDEX(emprunts!M:M,MATCH($A328,emprunts!$A:$A,0))</f>
        <v>36950</v>
      </c>
      <c r="D328" s="18">
        <f>IF(INDEX(emprunts!O:O,MATCH($A328,emprunts!$A:$A,0))="",INDEX(emprunts!N:N,MATCH($A328,emprunts!$A:$A,0)),MIN(INDEX(emprunts!N:N,MATCH($A328,emprunts!$A:$A,0)),INDEX(emprunts!O:O,MATCH($A328,emprunts!$A:$A,0))))</f>
        <v>42429</v>
      </c>
      <c r="E328" s="52">
        <f>INDEX(emprunts!I:I,MATCH($A328,emprunts!$A:$A,0))</f>
        <v>15</v>
      </c>
      <c r="F328" s="18" t="str">
        <f>INDEX(emprunts!P:P,MATCH($A328,emprunts!$A:$A,0))</f>
        <v>Fixe</v>
      </c>
      <c r="G328" s="126" t="str">
        <f>IF(LEFT(A328,3)="vx_","vx",INDEX(Categorie,MATCH($A328,emprunts!$A$2:$A$149,0)))</f>
        <v>Non_st</v>
      </c>
      <c r="H328">
        <v>2007</v>
      </c>
      <c r="I328">
        <f t="shared" si="33"/>
        <v>1</v>
      </c>
      <c r="L328" s="5">
        <v>37315</v>
      </c>
      <c r="M328" s="5">
        <v>38045</v>
      </c>
      <c r="N328" s="14">
        <v>609796.06999999995</v>
      </c>
      <c r="O328" s="14">
        <v>422167</v>
      </c>
      <c r="P328" s="4">
        <v>4.99E-2</v>
      </c>
      <c r="Q328" s="14">
        <v>16572.38</v>
      </c>
      <c r="R328" s="14">
        <v>46907.39</v>
      </c>
      <c r="S328" s="14"/>
      <c r="T328" s="14">
        <v>17660.900000000001</v>
      </c>
      <c r="U328" s="14">
        <f t="shared" si="44"/>
        <v>63479.770000000004</v>
      </c>
      <c r="V328" s="14">
        <f t="shared" si="40"/>
        <v>0</v>
      </c>
      <c r="X328" s="85">
        <f t="shared" si="35"/>
        <v>0</v>
      </c>
      <c r="Y328" s="21">
        <f t="shared" si="36"/>
        <v>4.5768965805433146E-2</v>
      </c>
      <c r="AA328" s="55">
        <f t="shared" si="41"/>
        <v>20339.72</v>
      </c>
      <c r="AB328" s="55">
        <f t="shared" si="42"/>
        <v>0.39000000001396984</v>
      </c>
      <c r="AC328" s="55">
        <f t="shared" si="37"/>
        <v>444399.81638356164</v>
      </c>
    </row>
    <row r="329" spans="1:29">
      <c r="A329" t="s">
        <v>16</v>
      </c>
      <c r="B329" s="16" t="str">
        <f>INDEX(emprunts!C:C,MATCH($A329,emprunts!A:A,0))</f>
        <v>Caisse d'Épargne</v>
      </c>
      <c r="C329" s="18">
        <f>INDEX(emprunts!M:M,MATCH($A329,emprunts!$A:$A,0))</f>
        <v>37189</v>
      </c>
      <c r="D329" s="18">
        <f>IF(INDEX(emprunts!O:O,MATCH($A329,emprunts!$A:$A,0))="",INDEX(emprunts!N:N,MATCH($A329,emprunts!$A:$A,0)),MIN(INDEX(emprunts!N:N,MATCH($A329,emprunts!$A:$A,0)),INDEX(emprunts!O:O,MATCH($A329,emprunts!$A:$A,0))))</f>
        <v>38773</v>
      </c>
      <c r="E329" s="52">
        <f>INDEX(emprunts!I:I,MATCH($A329,emprunts!$A:$A,0))</f>
        <v>19</v>
      </c>
      <c r="F329" s="18" t="str">
        <f>INDEX(emprunts!P:P,MATCH($A329,emprunts!$A:$A,0))</f>
        <v>Pente</v>
      </c>
      <c r="G329" s="126" t="str">
        <f>IF(LEFT(A329,3)="vx_","vx",INDEX(Categorie,MATCH($A329,emprunts!$A$2:$A$149,0)))</f>
        <v>Struct</v>
      </c>
      <c r="H329">
        <v>2007</v>
      </c>
      <c r="I329">
        <f t="shared" si="33"/>
        <v>1</v>
      </c>
      <c r="N329"/>
      <c r="O329" s="58"/>
      <c r="Q329" s="14"/>
      <c r="R329" s="14"/>
      <c r="S329" s="14"/>
      <c r="T329" s="14"/>
      <c r="U329" s="14">
        <f t="shared" si="44"/>
        <v>0</v>
      </c>
      <c r="V329" s="14">
        <f t="shared" si="40"/>
        <v>0</v>
      </c>
      <c r="X329" s="85">
        <f t="shared" si="35"/>
        <v>0</v>
      </c>
      <c r="Y329" s="21" t="str">
        <f t="shared" si="36"/>
        <v/>
      </c>
      <c r="AA329" s="55">
        <f t="shared" si="41"/>
        <v>0</v>
      </c>
      <c r="AB329" s="55">
        <f t="shared" si="42"/>
        <v>0</v>
      </c>
      <c r="AC329" s="55">
        <f t="shared" si="37"/>
        <v>0</v>
      </c>
    </row>
    <row r="330" spans="1:29">
      <c r="A330" t="s">
        <v>22</v>
      </c>
      <c r="B330" s="16" t="str">
        <f>INDEX(emprunts!C:C,MATCH($A330,emprunts!A:A,0))</f>
        <v>Dexia CL</v>
      </c>
      <c r="C330" s="18">
        <f>INDEX(emprunts!M:M,MATCH($A330,emprunts!$A:$A,0))</f>
        <v>37221</v>
      </c>
      <c r="D330" s="18">
        <f>IF(INDEX(emprunts!O:O,MATCH($A330,emprunts!$A:$A,0))="",INDEX(emprunts!N:N,MATCH($A330,emprunts!$A:$A,0)),MIN(INDEX(emprunts!N:N,MATCH($A330,emprunts!$A:$A,0)),INDEX(emprunts!O:O,MATCH($A330,emprunts!$A:$A,0))))</f>
        <v>38777</v>
      </c>
      <c r="E330" s="52">
        <f>INDEX(emprunts!I:I,MATCH($A330,emprunts!$A:$A,0))</f>
        <v>20</v>
      </c>
      <c r="F330" s="18" t="str">
        <f>INDEX(emprunts!P:P,MATCH($A330,emprunts!$A:$A,0))</f>
        <v>Annulable</v>
      </c>
      <c r="G330" s="126" t="str">
        <f>IF(LEFT(A330,3)="vx_","vx",INDEX(Categorie,MATCH($A330,emprunts!$A$2:$A$149,0)))</f>
        <v>Struct</v>
      </c>
      <c r="H330">
        <v>2007</v>
      </c>
      <c r="I330">
        <f t="shared" si="33"/>
        <v>1</v>
      </c>
      <c r="N330"/>
      <c r="O330" s="58"/>
      <c r="Q330" s="14"/>
      <c r="R330" s="14"/>
      <c r="S330" s="14"/>
      <c r="T330" s="14"/>
      <c r="U330" s="14">
        <f t="shared" si="44"/>
        <v>0</v>
      </c>
      <c r="V330" s="14">
        <f t="shared" si="40"/>
        <v>0</v>
      </c>
      <c r="X330" s="85">
        <f t="shared" si="35"/>
        <v>0</v>
      </c>
      <c r="Y330" s="21" t="str">
        <f t="shared" si="36"/>
        <v/>
      </c>
      <c r="AA330" s="55">
        <f t="shared" si="41"/>
        <v>0</v>
      </c>
      <c r="AB330" s="55">
        <f t="shared" si="42"/>
        <v>0</v>
      </c>
      <c r="AC330" s="55">
        <f t="shared" si="37"/>
        <v>0</v>
      </c>
    </row>
    <row r="331" spans="1:29">
      <c r="A331" t="s">
        <v>26</v>
      </c>
      <c r="B331" s="16" t="str">
        <f>INDEX(emprunts!C:C,MATCH($A331,emprunts!A:A,0))</f>
        <v>CDC</v>
      </c>
      <c r="C331" s="18">
        <f>INDEX(emprunts!M:M,MATCH($A331,emprunts!$A:$A,0))</f>
        <v>37281</v>
      </c>
      <c r="D331" s="18">
        <f>IF(INDEX(emprunts!O:O,MATCH($A331,emprunts!$A:$A,0))="",INDEX(emprunts!N:N,MATCH($A331,emprunts!$A:$A,0)),MIN(INDEX(emprunts!N:N,MATCH($A331,emprunts!$A:$A,0)),INDEX(emprunts!O:O,MATCH($A331,emprunts!$A:$A,0))))</f>
        <v>39838</v>
      </c>
      <c r="E331" s="52">
        <f>INDEX(emprunts!I:I,MATCH($A331,emprunts!$A:$A,0))</f>
        <v>7</v>
      </c>
      <c r="F331" s="18" t="str">
        <f>INDEX(emprunts!P:P,MATCH($A331,emprunts!$A:$A,0))</f>
        <v>Fixe</v>
      </c>
      <c r="G331" s="126" t="str">
        <f>IF(LEFT(A331,3)="vx_","vx",INDEX(Categorie,MATCH($A331,emprunts!$A$2:$A$149,0)))</f>
        <v>Non_st</v>
      </c>
      <c r="H331">
        <v>2007</v>
      </c>
      <c r="I331">
        <f t="shared" si="33"/>
        <v>1</v>
      </c>
      <c r="N331"/>
      <c r="O331" s="58"/>
      <c r="Q331" s="14"/>
      <c r="R331" s="14"/>
      <c r="S331" s="14"/>
      <c r="T331" s="14"/>
      <c r="U331" s="14">
        <f t="shared" si="44"/>
        <v>0</v>
      </c>
      <c r="V331" s="14">
        <f t="shared" si="40"/>
        <v>0</v>
      </c>
      <c r="X331" s="85">
        <f t="shared" si="35"/>
        <v>0</v>
      </c>
      <c r="Y331" s="21" t="str">
        <f t="shared" si="36"/>
        <v/>
      </c>
      <c r="AA331" s="55">
        <f t="shared" si="41"/>
        <v>0</v>
      </c>
      <c r="AB331" s="55">
        <f t="shared" si="42"/>
        <v>0</v>
      </c>
      <c r="AC331" s="55">
        <f t="shared" si="37"/>
        <v>0</v>
      </c>
    </row>
    <row r="332" spans="1:29">
      <c r="A332" t="s">
        <v>28</v>
      </c>
      <c r="B332" s="16" t="str">
        <f>INDEX(emprunts!C:C,MATCH($A332,emprunts!A:A,0))</f>
        <v>CDC</v>
      </c>
      <c r="C332" s="18">
        <f>INDEX(emprunts!M:M,MATCH($A332,emprunts!$A:$A,0))</f>
        <v>37288</v>
      </c>
      <c r="D332" s="18">
        <f>IF(INDEX(emprunts!O:O,MATCH($A332,emprunts!$A:$A,0))="",INDEX(emprunts!N:N,MATCH($A332,emprunts!$A:$A,0)),MIN(INDEX(emprunts!N:N,MATCH($A332,emprunts!$A:$A,0)),INDEX(emprunts!O:O,MATCH($A332,emprunts!$A:$A,0))))</f>
        <v>44593</v>
      </c>
      <c r="E332" s="52">
        <f>INDEX(emprunts!I:I,MATCH($A332,emprunts!$A:$A,0))</f>
        <v>20</v>
      </c>
      <c r="F332" s="18" t="str">
        <f>INDEX(emprunts!P:P,MATCH($A332,emprunts!$A:$A,0))</f>
        <v>Livret A</v>
      </c>
      <c r="G332" s="126" t="str">
        <f>IF(LEFT(A332,3)="vx_","vx",INDEX(Categorie,MATCH($A332,emprunts!$A$2:$A$149,0)))</f>
        <v>Livr_A</v>
      </c>
      <c r="H332">
        <v>2007</v>
      </c>
      <c r="I332">
        <f t="shared" si="33"/>
        <v>1</v>
      </c>
      <c r="L332" s="5">
        <v>37653</v>
      </c>
      <c r="M332" s="5">
        <v>37653</v>
      </c>
      <c r="N332" s="14">
        <v>2137796</v>
      </c>
      <c r="O332" s="14">
        <v>1699337</v>
      </c>
      <c r="P332" s="4">
        <v>2.75E-2</v>
      </c>
      <c r="Q332" s="14">
        <v>40353.61</v>
      </c>
      <c r="R332" s="14">
        <v>94379.3</v>
      </c>
      <c r="S332" s="14"/>
      <c r="T332" s="14">
        <v>42634.73</v>
      </c>
      <c r="U332" s="14">
        <f t="shared" si="44"/>
        <v>134732.91</v>
      </c>
      <c r="V332" s="14">
        <f t="shared" si="40"/>
        <v>0</v>
      </c>
      <c r="X332" s="85">
        <f t="shared" si="35"/>
        <v>0</v>
      </c>
      <c r="Y332" s="21">
        <f t="shared" si="36"/>
        <v>2.6506812947732699E-2</v>
      </c>
      <c r="AA332" s="55">
        <f t="shared" si="41"/>
        <v>46168.02</v>
      </c>
      <c r="AB332" s="55">
        <f t="shared" si="42"/>
        <v>0.30000000004656613</v>
      </c>
      <c r="AC332" s="55">
        <f t="shared" si="37"/>
        <v>1741741.6454794521</v>
      </c>
    </row>
    <row r="333" spans="1:29">
      <c r="A333" t="s">
        <v>31</v>
      </c>
      <c r="B333" s="16" t="str">
        <f>INDEX(emprunts!C:C,MATCH($A333,emprunts!A:A,0))</f>
        <v>CDC</v>
      </c>
      <c r="C333" s="18">
        <f>INDEX(emprunts!M:M,MATCH($A333,emprunts!$A:$A,0))</f>
        <v>37347</v>
      </c>
      <c r="D333" s="18">
        <f>IF(INDEX(emprunts!O:O,MATCH($A333,emprunts!$A:$A,0))="",INDEX(emprunts!N:N,MATCH($A333,emprunts!$A:$A,0)),MIN(INDEX(emprunts!N:N,MATCH($A333,emprunts!$A:$A,0)),INDEX(emprunts!O:O,MATCH($A333,emprunts!$A:$A,0))))</f>
        <v>44652</v>
      </c>
      <c r="E333" s="52">
        <f>INDEX(emprunts!I:I,MATCH($A333,emprunts!$A:$A,0))</f>
        <v>20</v>
      </c>
      <c r="F333" s="18" t="str">
        <f>INDEX(emprunts!P:P,MATCH($A333,emprunts!$A:$A,0))</f>
        <v>Livret A</v>
      </c>
      <c r="G333" s="126" t="str">
        <f>IF(LEFT(A333,3)="vx_","vx",INDEX(Categorie,MATCH($A333,emprunts!$A$2:$A$149,0)))</f>
        <v>Livr_A</v>
      </c>
      <c r="H333">
        <v>2007</v>
      </c>
      <c r="I333">
        <f t="shared" si="33"/>
        <v>1</v>
      </c>
      <c r="N333" s="58"/>
      <c r="O333" s="58"/>
      <c r="Q333" s="14"/>
      <c r="R333" s="14"/>
      <c r="S333" s="14"/>
      <c r="T333" s="14"/>
      <c r="U333" s="14">
        <f t="shared" si="44"/>
        <v>0</v>
      </c>
      <c r="V333" s="14">
        <f t="shared" si="40"/>
        <v>0</v>
      </c>
      <c r="X333" s="85">
        <f t="shared" si="35"/>
        <v>0</v>
      </c>
      <c r="Y333" s="21" t="str">
        <f t="shared" si="36"/>
        <v/>
      </c>
      <c r="AA333" s="55">
        <f t="shared" si="41"/>
        <v>0</v>
      </c>
      <c r="AB333" s="55">
        <f t="shared" si="42"/>
        <v>0</v>
      </c>
      <c r="AC333" s="55">
        <f t="shared" si="37"/>
        <v>0</v>
      </c>
    </row>
    <row r="334" spans="1:29">
      <c r="A334" t="s">
        <v>33</v>
      </c>
      <c r="B334" s="16" t="str">
        <f>INDEX(emprunts!C:C,MATCH($A334,emprunts!A:A,0))</f>
        <v>Crédit Agricole</v>
      </c>
      <c r="C334" s="18">
        <f>INDEX(emprunts!M:M,MATCH($A334,emprunts!$A:$A,0))</f>
        <v>37361</v>
      </c>
      <c r="D334" s="18">
        <f>IF(INDEX(emprunts!O:O,MATCH($A334,emprunts!$A:$A,0))="",INDEX(emprunts!N:N,MATCH($A334,emprunts!$A:$A,0)),MIN(INDEX(emprunts!N:N,MATCH($A334,emprunts!$A:$A,0)),INDEX(emprunts!O:O,MATCH($A334,emprunts!$A:$A,0))))</f>
        <v>42843</v>
      </c>
      <c r="E334" s="52">
        <f>INDEX(emprunts!I:I,MATCH($A334,emprunts!$A:$A,0))</f>
        <v>15</v>
      </c>
      <c r="F334" s="18" t="str">
        <f>INDEX(emprunts!P:P,MATCH($A334,emprunts!$A:$A,0))</f>
        <v>Barrière hors zone EUR</v>
      </c>
      <c r="G334" s="126" t="str">
        <f>IF(LEFT(A334,3)="vx_","vx",INDEX(Categorie,MATCH($A334,emprunts!$A$2:$A$149,0)))</f>
        <v>Struct</v>
      </c>
      <c r="H334">
        <v>2007</v>
      </c>
      <c r="I334">
        <f t="shared" si="33"/>
        <v>1</v>
      </c>
      <c r="L334" s="5">
        <v>37726</v>
      </c>
      <c r="M334" s="5">
        <v>37726</v>
      </c>
      <c r="N334" s="14">
        <v>13097112.84</v>
      </c>
      <c r="O334" s="14">
        <v>9457292</v>
      </c>
      <c r="P334" s="4">
        <v>3.8553999999999998E-2</v>
      </c>
      <c r="Q334" s="14">
        <v>392216.43</v>
      </c>
      <c r="R334" s="14">
        <v>778891.31</v>
      </c>
      <c r="S334" s="14"/>
      <c r="T334" s="14">
        <v>258551.86</v>
      </c>
      <c r="U334" s="14">
        <f t="shared" si="44"/>
        <v>1171107.74</v>
      </c>
      <c r="V334" s="14">
        <f t="shared" si="40"/>
        <v>0</v>
      </c>
      <c r="X334" s="85">
        <f t="shared" si="35"/>
        <v>0</v>
      </c>
      <c r="Y334" s="21">
        <f t="shared" si="36"/>
        <v>3.7993124976848938E-2</v>
      </c>
      <c r="AA334" s="55">
        <f t="shared" si="41"/>
        <v>373083.38000000006</v>
      </c>
      <c r="AB334" s="55">
        <f t="shared" si="42"/>
        <v>0.31000000052154064</v>
      </c>
      <c r="AC334" s="55">
        <f t="shared" si="37"/>
        <v>9819760.2915616427</v>
      </c>
    </row>
    <row r="335" spans="1:29">
      <c r="A335" t="s">
        <v>59</v>
      </c>
      <c r="B335" s="16" t="str">
        <f>INDEX(emprunts!C:C,MATCH($A335,emprunts!A:A,0))</f>
        <v>CDC</v>
      </c>
      <c r="C335" s="18">
        <f>INDEX(emprunts!M:M,MATCH($A335,emprunts!$A:$A,0))</f>
        <v>37621</v>
      </c>
      <c r="D335" s="18">
        <f>IF(INDEX(emprunts!O:O,MATCH($A335,emprunts!$A:$A,0))="",INDEX(emprunts!N:N,MATCH($A335,emprunts!$A:$A,0)),MIN(INDEX(emprunts!N:N,MATCH($A335,emprunts!$A:$A,0)),INDEX(emprunts!O:O,MATCH($A335,emprunts!$A:$A,0))))</f>
        <v>44927</v>
      </c>
      <c r="E335" s="52">
        <f>INDEX(emprunts!I:I,MATCH($A335,emprunts!$A:$A,0))</f>
        <v>20</v>
      </c>
      <c r="F335" s="18" t="str">
        <f>INDEX(emprunts!P:P,MATCH($A335,emprunts!$A:$A,0))</f>
        <v>Livret A</v>
      </c>
      <c r="G335" s="126" t="str">
        <f>IF(LEFT(A335,3)="vx_","vx",INDEX(Categorie,MATCH($A335,emprunts!$A$2:$A$149,0)))</f>
        <v>Livr_A</v>
      </c>
      <c r="H335">
        <v>2007</v>
      </c>
      <c r="I335">
        <f t="shared" si="33"/>
        <v>1</v>
      </c>
      <c r="N335" s="14">
        <v>4190000</v>
      </c>
      <c r="O335" s="14">
        <v>0</v>
      </c>
      <c r="Q335" s="14">
        <v>119891.84</v>
      </c>
      <c r="R335" s="14">
        <f>187761.86+3517277</f>
        <v>3705038.86</v>
      </c>
      <c r="S335" s="14"/>
      <c r="T335" s="14">
        <v>0</v>
      </c>
      <c r="U335" s="14">
        <f t="shared" si="44"/>
        <v>3824930.6999999997</v>
      </c>
      <c r="V335" s="14">
        <f t="shared" si="40"/>
        <v>0</v>
      </c>
      <c r="X335" s="85">
        <f t="shared" si="35"/>
        <v>0</v>
      </c>
      <c r="Y335" s="21">
        <f t="shared" si="36"/>
        <v>8.9606503323712912E-4</v>
      </c>
      <c r="Z335" t="s">
        <v>660</v>
      </c>
      <c r="AA335" s="55">
        <f t="shared" si="41"/>
        <v>1655.429999999993</v>
      </c>
      <c r="AB335" s="55">
        <f t="shared" si="42"/>
        <v>-0.14000000013038516</v>
      </c>
      <c r="AC335" s="55">
        <f t="shared" si="37"/>
        <v>1847444.0343013699</v>
      </c>
    </row>
    <row r="336" spans="1:29">
      <c r="A336" t="s">
        <v>60</v>
      </c>
      <c r="B336" s="16" t="str">
        <f>INDEX(emprunts!C:C,MATCH($A336,emprunts!A:A,0))</f>
        <v>Dexia CL</v>
      </c>
      <c r="C336" s="18">
        <f>INDEX(emprunts!M:M,MATCH($A336,emprunts!$A:$A,0))</f>
        <v>37622</v>
      </c>
      <c r="D336" s="18">
        <f>IF(INDEX(emprunts!O:O,MATCH($A336,emprunts!$A:$A,0))="",INDEX(emprunts!N:N,MATCH($A336,emprunts!$A:$A,0)),MIN(INDEX(emprunts!N:N,MATCH($A336,emprunts!$A:$A,0)),INDEX(emprunts!O:O,MATCH($A336,emprunts!$A:$A,0))))</f>
        <v>39350</v>
      </c>
      <c r="E336" s="52">
        <f>INDEX(emprunts!I:I,MATCH($A336,emprunts!$A:$A,0))</f>
        <v>14</v>
      </c>
      <c r="F336" s="18" t="str">
        <f>INDEX(emprunts!P:P,MATCH($A336,emprunts!$A:$A,0))</f>
        <v>Barrière hors zone EUR</v>
      </c>
      <c r="G336" s="126" t="str">
        <f>IF(LEFT(A336,3)="vx_","vx",INDEX(Categorie,MATCH($A336,emprunts!$A$2:$A$149,0)))</f>
        <v>Struct</v>
      </c>
      <c r="H336">
        <v>2007</v>
      </c>
      <c r="I336">
        <f t="shared" si="33"/>
        <v>1</v>
      </c>
      <c r="N336" s="14">
        <v>11919139.83</v>
      </c>
      <c r="O336" s="14">
        <v>716041</v>
      </c>
      <c r="P336" s="4">
        <v>4.8364999999999998E-2</v>
      </c>
      <c r="Q336" s="14">
        <v>398058.68</v>
      </c>
      <c r="R336" s="14">
        <f>675509.95</f>
        <v>675509.95</v>
      </c>
      <c r="S336" s="14"/>
      <c r="T336" s="14">
        <v>436665.37</v>
      </c>
      <c r="U336" s="14">
        <f t="shared" si="44"/>
        <v>1073568.6299999999</v>
      </c>
      <c r="V336" s="14">
        <f t="shared" si="40"/>
        <v>0</v>
      </c>
      <c r="W336" s="85"/>
      <c r="X336" s="85">
        <f t="shared" si="35"/>
        <v>8722000</v>
      </c>
      <c r="Y336" s="21">
        <f t="shared" si="36"/>
        <v>6.1215517017673228E-2</v>
      </c>
      <c r="AA336" s="55">
        <f t="shared" si="41"/>
        <v>437755.94000000006</v>
      </c>
      <c r="AB336" s="55">
        <f t="shared" si="42"/>
        <v>56.949999999254942</v>
      </c>
      <c r="AC336" s="55">
        <f t="shared" si="37"/>
        <v>7151061.7132191779</v>
      </c>
    </row>
    <row r="337" spans="1:29">
      <c r="A337" t="s">
        <v>72</v>
      </c>
      <c r="B337" s="16" t="str">
        <f>INDEX(emprunts!C:C,MATCH($A337,emprunts!A:A,0))</f>
        <v>Dexia CL</v>
      </c>
      <c r="C337" s="18">
        <f>INDEX(emprunts!M:M,MATCH($A337,emprunts!$A:$A,0))</f>
        <v>37756</v>
      </c>
      <c r="D337" s="18">
        <f>IF(INDEX(emprunts!O:O,MATCH($A337,emprunts!$A:$A,0))="",INDEX(emprunts!N:N,MATCH($A337,emprunts!$A:$A,0)),MIN(INDEX(emprunts!N:N,MATCH($A337,emprunts!$A:$A,0)),INDEX(emprunts!O:O,MATCH($A337,emprunts!$A:$A,0))))</f>
        <v>39539</v>
      </c>
      <c r="E337" s="52">
        <f>INDEX(emprunts!I:I,MATCH($A337,emprunts!$A:$A,0))</f>
        <v>20</v>
      </c>
      <c r="F337" s="18" t="str">
        <f>INDEX(emprunts!P:P,MATCH($A337,emprunts!$A:$A,0))</f>
        <v>Barrière hors zone EUR</v>
      </c>
      <c r="G337" s="126" t="str">
        <f>IF(LEFT(A337,3)="vx_","vx",INDEX(Categorie,MATCH($A337,emprunts!$A$2:$A$149,0)))</f>
        <v>Struct</v>
      </c>
      <c r="H337">
        <v>2007</v>
      </c>
      <c r="I337">
        <f t="shared" si="33"/>
        <v>1</v>
      </c>
      <c r="N337" s="14">
        <v>10068594</v>
      </c>
      <c r="O337" s="14">
        <v>10068594</v>
      </c>
      <c r="P337" s="4">
        <v>4.0076000000000001E-2</v>
      </c>
      <c r="Q337" s="14">
        <v>414243.37</v>
      </c>
      <c r="R337" s="14">
        <v>274919.76</v>
      </c>
      <c r="S337" s="14"/>
      <c r="T337" s="14">
        <v>367881.27</v>
      </c>
      <c r="U337" s="14">
        <f t="shared" si="44"/>
        <v>689163.13</v>
      </c>
      <c r="V337" s="14">
        <f t="shared" si="40"/>
        <v>0</v>
      </c>
      <c r="X337" s="85">
        <f t="shared" si="35"/>
        <v>0</v>
      </c>
      <c r="Y337" s="21">
        <f t="shared" si="36"/>
        <v>3.9712600012215535E-2</v>
      </c>
      <c r="AA337" s="55">
        <f t="shared" si="41"/>
        <v>404198.5</v>
      </c>
      <c r="AB337" s="55">
        <f t="shared" si="42"/>
        <v>-0.24000000022351742</v>
      </c>
      <c r="AC337" s="55">
        <f t="shared" si="37"/>
        <v>10178092.088547947</v>
      </c>
    </row>
    <row r="338" spans="1:29">
      <c r="A338" t="s">
        <v>79</v>
      </c>
      <c r="B338" s="16" t="str">
        <f>INDEX(emprunts!C:C,MATCH($A338,emprunts!A:A,0))</f>
        <v>Caisse d'Épargne</v>
      </c>
      <c r="C338" s="18">
        <f>INDEX(emprunts!M:M,MATCH($A338,emprunts!$A:$A,0))</f>
        <v>37803</v>
      </c>
      <c r="D338" s="18">
        <f>IF(INDEX(emprunts!O:O,MATCH($A338,emprunts!$A:$A,0))="",INDEX(emprunts!N:N,MATCH($A338,emprunts!$A:$A,0)),MIN(INDEX(emprunts!N:N,MATCH($A338,emprunts!$A:$A,0)),INDEX(emprunts!O:O,MATCH($A338,emprunts!$A:$A,0))))</f>
        <v>38773</v>
      </c>
      <c r="E338" s="52">
        <f>INDEX(emprunts!I:I,MATCH($A338,emprunts!$A:$A,0))</f>
        <v>20</v>
      </c>
      <c r="F338" s="18" t="str">
        <f>INDEX(emprunts!P:P,MATCH($A338,emprunts!$A:$A,0))</f>
        <v>Barrière hors zone EUR</v>
      </c>
      <c r="G338" s="126" t="str">
        <f>IF(LEFT(A338,3)="vx_","vx",INDEX(Categorie,MATCH($A338,emprunts!$A$2:$A$149,0)))</f>
        <v>Struct</v>
      </c>
      <c r="H338">
        <v>2007</v>
      </c>
      <c r="I338">
        <f t="shared" si="33"/>
        <v>1</v>
      </c>
      <c r="N338"/>
      <c r="O338" s="58"/>
      <c r="Q338" s="14"/>
      <c r="R338" s="14"/>
      <c r="S338" s="14"/>
      <c r="T338" s="14"/>
      <c r="U338" s="14">
        <f t="shared" si="44"/>
        <v>0</v>
      </c>
      <c r="V338" s="14">
        <f t="shared" si="40"/>
        <v>0</v>
      </c>
      <c r="X338" s="85">
        <f t="shared" si="35"/>
        <v>0</v>
      </c>
      <c r="Y338" s="21" t="str">
        <f t="shared" si="36"/>
        <v/>
      </c>
      <c r="AA338" s="55">
        <f t="shared" si="41"/>
        <v>0</v>
      </c>
      <c r="AB338" s="55">
        <f t="shared" si="42"/>
        <v>0</v>
      </c>
      <c r="AC338" s="55">
        <f t="shared" si="37"/>
        <v>0</v>
      </c>
    </row>
    <row r="339" spans="1:29">
      <c r="A339" t="s">
        <v>84</v>
      </c>
      <c r="B339" s="16" t="str">
        <f>INDEX(emprunts!C:C,MATCH($A339,emprunts!A:A,0))</f>
        <v>Caisse d'Épargne</v>
      </c>
      <c r="C339" s="18">
        <f>INDEX(emprunts!M:M,MATCH($A339,emprunts!$A:$A,0))</f>
        <v>37865</v>
      </c>
      <c r="D339" s="18">
        <f>IF(INDEX(emprunts!O:O,MATCH($A339,emprunts!$A:$A,0))="",INDEX(emprunts!N:N,MATCH($A339,emprunts!$A:$A,0)),MIN(INDEX(emprunts!N:N,MATCH($A339,emprunts!$A:$A,0)),INDEX(emprunts!O:O,MATCH($A339,emprunts!$A:$A,0))))</f>
        <v>38961</v>
      </c>
      <c r="E339" s="52">
        <f>INDEX(emprunts!I:I,MATCH($A339,emprunts!$A:$A,0))</f>
        <v>3</v>
      </c>
      <c r="F339" s="18" t="str">
        <f>INDEX(emprunts!P:P,MATCH($A339,emprunts!$A:$A,0))</f>
        <v>Fixe</v>
      </c>
      <c r="G339" s="126" t="str">
        <f>IF(LEFT(A339,3)="vx_","vx",INDEX(Categorie,MATCH($A339,emprunts!$A$2:$A$149,0)))</f>
        <v>Non_st</v>
      </c>
      <c r="H339">
        <v>2007</v>
      </c>
      <c r="I339">
        <f t="shared" si="33"/>
        <v>1</v>
      </c>
      <c r="N339"/>
      <c r="O339" s="58"/>
      <c r="Q339" s="14"/>
      <c r="R339" s="14"/>
      <c r="S339" s="14"/>
      <c r="T339" s="14"/>
      <c r="U339" s="14">
        <f t="shared" si="44"/>
        <v>0</v>
      </c>
      <c r="V339" s="14">
        <f t="shared" si="40"/>
        <v>0</v>
      </c>
      <c r="X339" s="85">
        <f t="shared" si="35"/>
        <v>0</v>
      </c>
      <c r="Y339" s="21" t="str">
        <f t="shared" si="36"/>
        <v/>
      </c>
      <c r="AA339" s="55">
        <f t="shared" si="41"/>
        <v>0</v>
      </c>
      <c r="AB339" s="55">
        <f t="shared" si="42"/>
        <v>0</v>
      </c>
      <c r="AC339" s="55">
        <f t="shared" si="37"/>
        <v>0</v>
      </c>
    </row>
    <row r="340" spans="1:29">
      <c r="A340" t="s">
        <v>86</v>
      </c>
      <c r="B340" s="16" t="str">
        <f>INDEX(emprunts!C:C,MATCH($A340,emprunts!A:A,0))</f>
        <v>Caisse d'Épargne</v>
      </c>
      <c r="C340" s="18">
        <f>INDEX(emprunts!M:M,MATCH($A340,emprunts!$A:$A,0))</f>
        <v>38022</v>
      </c>
      <c r="D340" s="18">
        <f>IF(INDEX(emprunts!O:O,MATCH($A340,emprunts!$A:$A,0))="",INDEX(emprunts!N:N,MATCH($A340,emprunts!$A:$A,0)),MIN(INDEX(emprunts!N:N,MATCH($A340,emprunts!$A:$A,0)),INDEX(emprunts!O:O,MATCH($A340,emprunts!$A:$A,0))))</f>
        <v>40719</v>
      </c>
      <c r="E340" s="52">
        <f>INDEX(emprunts!I:I,MATCH($A340,emprunts!$A:$A,0))</f>
        <v>7</v>
      </c>
      <c r="F340" s="18" t="str">
        <f>INDEX(emprunts!P:P,MATCH($A340,emprunts!$A:$A,0))</f>
        <v>Fixe</v>
      </c>
      <c r="G340" s="126" t="str">
        <f>IF(LEFT(A340,3)="vx_","vx",INDEX(Categorie,MATCH($A340,emprunts!$A$2:$A$149,0)))</f>
        <v>Non_st</v>
      </c>
      <c r="H340">
        <v>2007</v>
      </c>
      <c r="I340">
        <f t="shared" si="33"/>
        <v>1</v>
      </c>
      <c r="N340" s="14">
        <v>4324063.92</v>
      </c>
      <c r="O340" s="14">
        <v>2269851</v>
      </c>
      <c r="P340" s="4">
        <v>3.7999999999999999E-2</v>
      </c>
      <c r="Q340" s="14">
        <v>105881.18</v>
      </c>
      <c r="R340" s="14">
        <v>516495.51</v>
      </c>
      <c r="S340" s="14"/>
      <c r="T340" s="14">
        <v>44541.18</v>
      </c>
      <c r="U340" s="14">
        <f>SUM(Q340:R340)</f>
        <v>622376.68999999994</v>
      </c>
      <c r="V340" s="14">
        <f t="shared" si="40"/>
        <v>0</v>
      </c>
      <c r="X340" s="85">
        <f t="shared" si="35"/>
        <v>0</v>
      </c>
      <c r="Y340" s="21">
        <f t="shared" si="36"/>
        <v>3.7917362508471088E-2</v>
      </c>
      <c r="AA340" s="55">
        <f t="shared" si="41"/>
        <v>95596.209999999992</v>
      </c>
      <c r="AB340" s="55">
        <f t="shared" si="42"/>
        <v>-0.49000000022351742</v>
      </c>
      <c r="AC340" s="55">
        <f t="shared" si="37"/>
        <v>2521172.4570410959</v>
      </c>
    </row>
    <row r="341" spans="1:29">
      <c r="A341" t="s">
        <v>88</v>
      </c>
      <c r="B341" s="16" t="str">
        <f>INDEX(emprunts!C:C,MATCH($A341,emprunts!A:A,0))</f>
        <v>Dexia CL</v>
      </c>
      <c r="C341" s="18">
        <f>INDEX(emprunts!M:M,MATCH($A341,emprunts!$A:$A,0))</f>
        <v>38077</v>
      </c>
      <c r="D341" s="18">
        <f>IF(INDEX(emprunts!O:O,MATCH($A341,emprunts!$A:$A,0))="",INDEX(emprunts!N:N,MATCH($A341,emprunts!$A:$A,0)),MIN(INDEX(emprunts!N:N,MATCH($A341,emprunts!$A:$A,0)),INDEX(emprunts!O:O,MATCH($A341,emprunts!$A:$A,0))))</f>
        <v>39173</v>
      </c>
      <c r="E341" s="52">
        <f>INDEX(emprunts!I:I,MATCH($A341,emprunts!$A:$A,0))</f>
        <v>3</v>
      </c>
      <c r="F341" s="18" t="str">
        <f>INDEX(emprunts!P:P,MATCH($A341,emprunts!$A:$A,0))</f>
        <v>Fixe</v>
      </c>
      <c r="G341" s="126" t="str">
        <f>IF(LEFT(A341,3)="vx_","vx",INDEX(Categorie,MATCH($A341,emprunts!$A$2:$A$149,0)))</f>
        <v>Non_st</v>
      </c>
      <c r="H341">
        <v>2007</v>
      </c>
      <c r="I341">
        <f t="shared" si="33"/>
        <v>1</v>
      </c>
      <c r="N341" s="14">
        <v>177894.36</v>
      </c>
      <c r="O341" s="14">
        <v>0</v>
      </c>
      <c r="P341" s="4">
        <v>2.7E-2</v>
      </c>
      <c r="Q341" s="14">
        <v>1623.29</v>
      </c>
      <c r="R341" s="14">
        <v>59298.12</v>
      </c>
      <c r="S341" s="14"/>
      <c r="T341" s="14">
        <v>0</v>
      </c>
      <c r="U341" s="14">
        <f t="shared" ref="U341:U355" si="45">SUM(Q341:S341)</f>
        <v>60921.41</v>
      </c>
      <c r="V341" s="14">
        <f t="shared" si="40"/>
        <v>0</v>
      </c>
      <c r="X341" s="85">
        <f t="shared" si="35"/>
        <v>0</v>
      </c>
      <c r="Y341" s="21">
        <f t="shared" si="36"/>
        <v>5.5358378609267511E-2</v>
      </c>
      <c r="AA341" s="55">
        <f t="shared" si="41"/>
        <v>404.71000000000004</v>
      </c>
      <c r="AB341" s="55">
        <f t="shared" si="42"/>
        <v>0.12000000000261934</v>
      </c>
      <c r="AC341" s="55">
        <f t="shared" si="37"/>
        <v>7310.727123287671</v>
      </c>
    </row>
    <row r="342" spans="1:29">
      <c r="A342" t="s">
        <v>101</v>
      </c>
      <c r="B342" s="16" t="str">
        <f>INDEX(emprunts!C:C,MATCH($A342,emprunts!A:A,0))</f>
        <v>Dexia CL</v>
      </c>
      <c r="C342" s="18">
        <f>INDEX(emprunts!M:M,MATCH($A342,emprunts!$A:$A,0))</f>
        <v>38106</v>
      </c>
      <c r="D342" s="18">
        <f>IF(INDEX(emprunts!O:O,MATCH($A342,emprunts!$A:$A,0))="",INDEX(emprunts!N:N,MATCH($A342,emprunts!$A:$A,0)),MIN(INDEX(emprunts!N:N,MATCH($A342,emprunts!$A:$A,0)),INDEX(emprunts!O:O,MATCH($A342,emprunts!$A:$A,0))))</f>
        <v>39203</v>
      </c>
      <c r="E342" s="52">
        <f>INDEX(emprunts!I:I,MATCH($A342,emprunts!$A:$A,0))</f>
        <v>21</v>
      </c>
      <c r="F342" s="18" t="str">
        <f>INDEX(emprunts!P:P,MATCH($A342,emprunts!$A:$A,0))</f>
        <v>Barrière</v>
      </c>
      <c r="G342" s="126" t="str">
        <f>IF(LEFT(A342,3)="vx_","vx",INDEX(Categorie,MATCH($A342,emprunts!$A$2:$A$149,0)))</f>
        <v>Struct</v>
      </c>
      <c r="H342">
        <v>2007</v>
      </c>
      <c r="I342">
        <f t="shared" si="33"/>
        <v>1</v>
      </c>
      <c r="N342" s="14">
        <v>8000000</v>
      </c>
      <c r="O342" s="14">
        <v>0</v>
      </c>
      <c r="P342" s="4">
        <v>4.0399999999999998E-2</v>
      </c>
      <c r="Q342" s="14">
        <v>307373.06</v>
      </c>
      <c r="R342" s="14">
        <v>266739.63</v>
      </c>
      <c r="S342" s="14"/>
      <c r="T342" s="14">
        <v>0</v>
      </c>
      <c r="U342" s="14">
        <f t="shared" si="45"/>
        <v>574112.68999999994</v>
      </c>
      <c r="V342" s="14">
        <f t="shared" si="40"/>
        <v>0</v>
      </c>
      <c r="X342" s="85">
        <f t="shared" si="35"/>
        <v>7237000</v>
      </c>
      <c r="Y342" s="21">
        <f t="shared" si="36"/>
        <v>4.2051416102065239E-2</v>
      </c>
      <c r="AA342" s="55">
        <f t="shared" si="41"/>
        <v>101896.26999999999</v>
      </c>
      <c r="AB342" s="55">
        <f t="shared" si="42"/>
        <v>-282.37000000011176</v>
      </c>
      <c r="AC342" s="55">
        <f t="shared" si="37"/>
        <v>2423135.2816438358</v>
      </c>
    </row>
    <row r="343" spans="1:29">
      <c r="A343" t="s">
        <v>108</v>
      </c>
      <c r="B343" s="16" t="str">
        <f>INDEX(emprunts!C:C,MATCH($A343,emprunts!A:A,0))</f>
        <v>Dexia CL</v>
      </c>
      <c r="C343" s="18">
        <f>INDEX(emprunts!M:M,MATCH($A343,emprunts!$A:$A,0))</f>
        <v>38193</v>
      </c>
      <c r="D343" s="18">
        <f>IF(INDEX(emprunts!O:O,MATCH($A343,emprunts!$A:$A,0))="",INDEX(emprunts!N:N,MATCH($A343,emprunts!$A:$A,0)),MIN(INDEX(emprunts!N:N,MATCH($A343,emprunts!$A:$A,0)),INDEX(emprunts!O:O,MATCH($A343,emprunts!$A:$A,0))))</f>
        <v>38777</v>
      </c>
      <c r="E343" s="52">
        <f>INDEX(emprunts!I:I,MATCH($A343,emprunts!$A:$A,0))</f>
        <v>18</v>
      </c>
      <c r="F343" s="18" t="str">
        <f>INDEX(emprunts!P:P,MATCH($A343,emprunts!$A:$A,0))</f>
        <v>Pente</v>
      </c>
      <c r="G343" s="126" t="str">
        <f>IF(LEFT(A343,3)="vx_","vx",INDEX(Categorie,MATCH($A343,emprunts!$A$2:$A$149,0)))</f>
        <v>Struct</v>
      </c>
      <c r="H343">
        <v>2007</v>
      </c>
      <c r="I343">
        <f t="shared" si="33"/>
        <v>1</v>
      </c>
      <c r="N343" s="58"/>
      <c r="O343" s="58"/>
      <c r="Q343" s="14"/>
      <c r="R343" s="14"/>
      <c r="S343" s="14"/>
      <c r="T343" s="14"/>
      <c r="U343" s="14">
        <f t="shared" si="45"/>
        <v>0</v>
      </c>
      <c r="V343" s="14">
        <f t="shared" si="40"/>
        <v>0</v>
      </c>
      <c r="X343" s="85">
        <f t="shared" si="35"/>
        <v>0</v>
      </c>
      <c r="Y343" s="21" t="str">
        <f t="shared" si="36"/>
        <v/>
      </c>
      <c r="AA343" s="55">
        <f t="shared" si="41"/>
        <v>0</v>
      </c>
      <c r="AB343" s="55">
        <f t="shared" si="42"/>
        <v>0</v>
      </c>
      <c r="AC343" s="55">
        <f t="shared" si="37"/>
        <v>0</v>
      </c>
    </row>
    <row r="344" spans="1:29">
      <c r="A344" t="s">
        <v>114</v>
      </c>
      <c r="B344" s="16" t="str">
        <f>INDEX(emprunts!C:C,MATCH($A344,emprunts!A:A,0))</f>
        <v>Dexia CL</v>
      </c>
      <c r="C344" s="18">
        <f>INDEX(emprunts!M:M,MATCH($A344,emprunts!$A:$A,0))</f>
        <v>38384</v>
      </c>
      <c r="D344" s="18">
        <f>IF(INDEX(emprunts!O:O,MATCH($A344,emprunts!$A:$A,0))="",INDEX(emprunts!N:N,MATCH($A344,emprunts!$A:$A,0)),MIN(INDEX(emprunts!N:N,MATCH($A344,emprunts!$A:$A,0)),INDEX(emprunts!O:O,MATCH($A344,emprunts!$A:$A,0))))</f>
        <v>39263</v>
      </c>
      <c r="E344" s="52">
        <f>INDEX(emprunts!I:I,MATCH($A344,emprunts!$A:$A,0))</f>
        <v>15</v>
      </c>
      <c r="F344" s="18" t="str">
        <f>INDEX(emprunts!P:P,MATCH($A344,emprunts!$A:$A,0))</f>
        <v>Change</v>
      </c>
      <c r="G344" s="126" t="str">
        <f>IF(LEFT(A344,3)="vx_","vx",INDEX(Categorie,MATCH($A344,emprunts!$A$2:$A$149,0)))</f>
        <v>Struct</v>
      </c>
      <c r="H344">
        <v>2007</v>
      </c>
      <c r="I344">
        <f t="shared" si="33"/>
        <v>1</v>
      </c>
      <c r="N344" s="14">
        <v>11000000</v>
      </c>
      <c r="O344" s="14">
        <v>0</v>
      </c>
      <c r="Q344" s="14">
        <v>374347.6</v>
      </c>
      <c r="R344" s="14">
        <v>535253.42000000004</v>
      </c>
      <c r="S344" s="14"/>
      <c r="T344" s="14">
        <v>0</v>
      </c>
      <c r="U344" s="14">
        <f t="shared" si="45"/>
        <v>909601.02</v>
      </c>
      <c r="V344" s="14">
        <f t="shared" si="40"/>
        <v>0</v>
      </c>
      <c r="W344" s="85">
        <v>1979018.42</v>
      </c>
      <c r="X344" s="85">
        <f t="shared" si="35"/>
        <v>11934000</v>
      </c>
      <c r="Y344" s="21">
        <f t="shared" si="36"/>
        <v>5.4542476110001608E-3</v>
      </c>
      <c r="AA344" s="55">
        <f t="shared" si="41"/>
        <v>32819.51999999996</v>
      </c>
      <c r="AB344" s="55">
        <f t="shared" si="42"/>
        <v>0</v>
      </c>
      <c r="AC344" s="55">
        <f t="shared" si="37"/>
        <v>6017240.5693150684</v>
      </c>
    </row>
    <row r="345" spans="1:29">
      <c r="A345" t="s">
        <v>117</v>
      </c>
      <c r="B345" s="16" t="str">
        <f>INDEX(emprunts!C:C,MATCH($A345,emprunts!A:A,0))</f>
        <v>Dexia CL</v>
      </c>
      <c r="C345" s="18">
        <f>INDEX(emprunts!M:M,MATCH($A345,emprunts!$A:$A,0))</f>
        <v>38406</v>
      </c>
      <c r="D345" s="18">
        <f>IF(INDEX(emprunts!O:O,MATCH($A345,emprunts!$A:$A,0))="",INDEX(emprunts!N:N,MATCH($A345,emprunts!$A:$A,0)),MIN(INDEX(emprunts!N:N,MATCH($A345,emprunts!$A:$A,0)),INDEX(emprunts!O:O,MATCH($A345,emprunts!$A:$A,0))))</f>
        <v>39114</v>
      </c>
      <c r="E345" s="52">
        <f>INDEX(emprunts!I:I,MATCH($A345,emprunts!$A:$A,0))</f>
        <v>17</v>
      </c>
      <c r="F345" s="18" t="str">
        <f>INDEX(emprunts!P:P,MATCH($A345,emprunts!$A:$A,0))</f>
        <v>Barrière avec multiplicateur</v>
      </c>
      <c r="G345" s="126" t="str">
        <f>IF(LEFT(A345,3)="vx_","vx",INDEX(Categorie,MATCH($A345,emprunts!$A$2:$A$149,0)))</f>
        <v>Struct</v>
      </c>
      <c r="H345">
        <v>2007</v>
      </c>
      <c r="I345">
        <f t="shared" si="33"/>
        <v>1</v>
      </c>
      <c r="N345" s="14">
        <v>10833098.460000001</v>
      </c>
      <c r="O345" s="14">
        <v>0</v>
      </c>
      <c r="Q345" s="14">
        <v>97377.48</v>
      </c>
      <c r="R345" s="14">
        <v>0</v>
      </c>
      <c r="S345" s="14"/>
      <c r="T345" s="14">
        <v>0</v>
      </c>
      <c r="U345" s="14">
        <f t="shared" si="45"/>
        <v>97377.48</v>
      </c>
      <c r="V345" s="14">
        <f t="shared" si="40"/>
        <v>0</v>
      </c>
      <c r="X345" s="85">
        <f t="shared" si="35"/>
        <v>9658000</v>
      </c>
      <c r="Y345" s="21">
        <f t="shared" si="36"/>
        <v>4.1291882210302E-2</v>
      </c>
      <c r="AA345" s="55">
        <f t="shared" si="41"/>
        <v>33870.429999999993</v>
      </c>
      <c r="AB345" s="55">
        <f t="shared" si="42"/>
        <v>359</v>
      </c>
      <c r="AC345" s="55">
        <f t="shared" si="37"/>
        <v>820268.49315068487</v>
      </c>
    </row>
    <row r="346" spans="1:29">
      <c r="A346" t="s">
        <v>121</v>
      </c>
      <c r="B346" s="16" t="str">
        <f>INDEX(emprunts!C:C,MATCH($A346,emprunts!A:A,0))</f>
        <v>Dexia CL</v>
      </c>
      <c r="C346" s="18">
        <f>INDEX(emprunts!M:M,MATCH($A346,emprunts!$A:$A,0))</f>
        <v>38406</v>
      </c>
      <c r="D346" s="18">
        <f>IF(INDEX(emprunts!O:O,MATCH($A346,emprunts!$A:$A,0))="",INDEX(emprunts!N:N,MATCH($A346,emprunts!$A:$A,0)),MIN(INDEX(emprunts!N:N,MATCH($A346,emprunts!$A:$A,0)),INDEX(emprunts!O:O,MATCH($A346,emprunts!$A:$A,0))))</f>
        <v>39203</v>
      </c>
      <c r="E346" s="52">
        <f>INDEX(emprunts!I:I,MATCH($A346,emprunts!$A:$A,0))</f>
        <v>15</v>
      </c>
      <c r="F346" s="18" t="str">
        <f>INDEX(emprunts!P:P,MATCH($A346,emprunts!$A:$A,0))</f>
        <v>Variable hors zone EUR</v>
      </c>
      <c r="G346" s="126" t="str">
        <f>IF(LEFT(A346,3)="vx_","vx",INDEX(Categorie,MATCH($A346,emprunts!$A$2:$A$149,0)))</f>
        <v>Struct</v>
      </c>
      <c r="H346">
        <v>2007</v>
      </c>
      <c r="I346">
        <f t="shared" si="33"/>
        <v>1</v>
      </c>
      <c r="N346" s="14">
        <v>8000000</v>
      </c>
      <c r="O346" s="14">
        <v>0</v>
      </c>
      <c r="Q346" s="14">
        <v>233420.14</v>
      </c>
      <c r="R346" s="14">
        <v>370738.3</v>
      </c>
      <c r="S346" s="14"/>
      <c r="T346" s="14">
        <v>0</v>
      </c>
      <c r="U346" s="14">
        <f>SUM(Q346:T346)</f>
        <v>604158.43999999994</v>
      </c>
      <c r="V346" s="14">
        <f t="shared" si="40"/>
        <v>0</v>
      </c>
      <c r="X346" s="85">
        <f t="shared" si="35"/>
        <v>7629000</v>
      </c>
      <c r="Y346" s="21">
        <f t="shared" si="36"/>
        <v>2.6865413590893221E-2</v>
      </c>
      <c r="AA346" s="55">
        <f t="shared" si="41"/>
        <v>69020.140000000014</v>
      </c>
      <c r="AB346" s="55">
        <f t="shared" si="42"/>
        <v>-261.70000000018626</v>
      </c>
      <c r="AC346" s="55">
        <f t="shared" si="37"/>
        <v>2569107.6657534246</v>
      </c>
    </row>
    <row r="347" spans="1:29">
      <c r="A347" t="s">
        <v>123</v>
      </c>
      <c r="B347" s="16" t="str">
        <f>INDEX(emprunts!C:C,MATCH($A347,emprunts!A:A,0))</f>
        <v>Crédit Mutuel</v>
      </c>
      <c r="C347" s="18">
        <f>INDEX(emprunts!M:M,MATCH($A347,emprunts!$A:$A,0))</f>
        <v>38435</v>
      </c>
      <c r="D347" s="18">
        <f>IF(INDEX(emprunts!O:O,MATCH($A347,emprunts!$A:$A,0))="",INDEX(emprunts!N:N,MATCH($A347,emprunts!$A:$A,0)),MIN(INDEX(emprunts!N:N,MATCH($A347,emprunts!$A:$A,0)),INDEX(emprunts!O:O,MATCH($A347,emprunts!$A:$A,0))))</f>
        <v>40260</v>
      </c>
      <c r="E347" s="52">
        <f>INDEX(emprunts!I:I,MATCH($A347,emprunts!$A:$A,0))</f>
        <v>5</v>
      </c>
      <c r="F347" s="18" t="str">
        <f>INDEX(emprunts!P:P,MATCH($A347,emprunts!$A:$A,0))</f>
        <v>Fixe</v>
      </c>
      <c r="G347" s="126" t="str">
        <f>IF(LEFT(A347,3)="vx_","vx",INDEX(Categorie,MATCH($A347,emprunts!$A$2:$A$149,0)))</f>
        <v>Non_st</v>
      </c>
      <c r="H347">
        <v>2007</v>
      </c>
      <c r="I347">
        <f t="shared" si="33"/>
        <v>1</v>
      </c>
      <c r="N347" s="14">
        <v>1808556.04</v>
      </c>
      <c r="O347" s="14">
        <v>1116724</v>
      </c>
      <c r="P347" s="4">
        <v>2.9700000000000001E-2</v>
      </c>
      <c r="Q347" s="14">
        <v>43590.75</v>
      </c>
      <c r="R347" s="14">
        <v>350977.52</v>
      </c>
      <c r="S347" s="14"/>
      <c r="T347" s="14">
        <v>27805.52</v>
      </c>
      <c r="U347" s="14">
        <f t="shared" si="45"/>
        <v>394568.27</v>
      </c>
      <c r="V347" s="14">
        <f t="shared" si="40"/>
        <v>0</v>
      </c>
      <c r="X347" s="85">
        <f t="shared" si="35"/>
        <v>0</v>
      </c>
      <c r="Y347" s="21">
        <f t="shared" si="36"/>
        <v>2.7044653566624305E-2</v>
      </c>
      <c r="AA347" s="55">
        <f t="shared" si="41"/>
        <v>34851.700000000004</v>
      </c>
      <c r="AB347" s="55">
        <f t="shared" si="42"/>
        <v>-0.47999999998137355</v>
      </c>
      <c r="AC347" s="55">
        <f t="shared" si="37"/>
        <v>1288672.4510684931</v>
      </c>
    </row>
    <row r="348" spans="1:29">
      <c r="A348" t="s">
        <v>125</v>
      </c>
      <c r="B348" s="16" t="str">
        <f>INDEX(emprunts!C:C,MATCH($A348,emprunts!A:A,0))</f>
        <v>Dexia CL</v>
      </c>
      <c r="C348" s="18">
        <f>INDEX(emprunts!M:M,MATCH($A348,emprunts!$A:$A,0))</f>
        <v>38443</v>
      </c>
      <c r="D348" s="18">
        <f>IF(INDEX(emprunts!O:O,MATCH($A348,emprunts!$A:$A,0))="",INDEX(emprunts!N:N,MATCH($A348,emprunts!$A:$A,0)),MIN(INDEX(emprunts!N:N,MATCH($A348,emprunts!$A:$A,0)),INDEX(emprunts!O:O,MATCH($A348,emprunts!$A:$A,0))))</f>
        <v>38899</v>
      </c>
      <c r="E348" s="52">
        <f>INDEX(emprunts!I:I,MATCH($A348,emprunts!$A:$A,0))</f>
        <v>19</v>
      </c>
      <c r="F348" s="18" t="str">
        <f>INDEX(emprunts!P:P,MATCH($A348,emprunts!$A:$A,0))</f>
        <v>Change</v>
      </c>
      <c r="G348" s="126" t="str">
        <f>IF(LEFT(A348,3)="vx_","vx",INDEX(Categorie,MATCH($A348,emprunts!$A$2:$A$149,0)))</f>
        <v>Struct</v>
      </c>
      <c r="H348">
        <v>2007</v>
      </c>
      <c r="I348">
        <f t="shared" si="33"/>
        <v>1</v>
      </c>
      <c r="N348" s="58"/>
      <c r="O348" s="58"/>
      <c r="Q348" s="14"/>
      <c r="R348" s="14"/>
      <c r="S348" s="14"/>
      <c r="T348" s="14"/>
      <c r="U348" s="14">
        <f t="shared" si="45"/>
        <v>0</v>
      </c>
      <c r="V348" s="14">
        <f t="shared" si="40"/>
        <v>0</v>
      </c>
      <c r="X348" s="85">
        <f t="shared" si="35"/>
        <v>0</v>
      </c>
      <c r="Y348" s="21" t="str">
        <f t="shared" si="36"/>
        <v/>
      </c>
      <c r="AA348" s="55">
        <f t="shared" si="41"/>
        <v>0</v>
      </c>
      <c r="AB348" s="55">
        <f t="shared" si="42"/>
        <v>0</v>
      </c>
      <c r="AC348" s="55">
        <f t="shared" si="37"/>
        <v>0</v>
      </c>
    </row>
    <row r="349" spans="1:29">
      <c r="A349" t="s">
        <v>180</v>
      </c>
      <c r="B349" s="16" t="str">
        <f>INDEX(emprunts!C:C,MATCH($A349,emprunts!A:A,0))</f>
        <v>Dexia CL</v>
      </c>
      <c r="C349" s="18">
        <f>INDEX(emprunts!M:M,MATCH($A349,emprunts!$A:$A,0))</f>
        <v>38443</v>
      </c>
      <c r="D349" s="18">
        <f>IF(INDEX(emprunts!O:O,MATCH($A349,emprunts!$A:$A,0))="",INDEX(emprunts!N:N,MATCH($A349,emprunts!$A:$A,0)),MIN(INDEX(emprunts!N:N,MATCH($A349,emprunts!$A:$A,0)),INDEX(emprunts!O:O,MATCH($A349,emprunts!$A:$A,0))))</f>
        <v>39203</v>
      </c>
      <c r="E349" s="52">
        <f>INDEX(emprunts!I:I,MATCH($A349,emprunts!$A:$A,0))</f>
        <v>15</v>
      </c>
      <c r="F349" s="18" t="str">
        <f>INDEX(emprunts!P:P,MATCH($A349,emprunts!$A:$A,0))</f>
        <v>Change</v>
      </c>
      <c r="G349" s="126" t="str">
        <f>IF(LEFT(A349,3)="vx_","vx",INDEX(Categorie,MATCH($A349,emprunts!$A$2:$A$149,0)))</f>
        <v>Struct</v>
      </c>
      <c r="H349">
        <v>2007</v>
      </c>
      <c r="I349">
        <f t="shared" si="33"/>
        <v>1</v>
      </c>
      <c r="N349" s="14">
        <v>6992442.4100000001</v>
      </c>
      <c r="O349" s="14">
        <v>0</v>
      </c>
      <c r="Q349" s="14">
        <v>241888.27</v>
      </c>
      <c r="R349" s="14">
        <v>340248.07</v>
      </c>
      <c r="S349" s="14"/>
      <c r="T349" s="14">
        <v>0</v>
      </c>
      <c r="U349" s="14">
        <f t="shared" si="45"/>
        <v>582136.34</v>
      </c>
      <c r="V349" s="14">
        <f t="shared" si="40"/>
        <v>0</v>
      </c>
      <c r="X349" s="85">
        <f t="shared" si="35"/>
        <v>6787000</v>
      </c>
      <c r="Y349" s="21">
        <f t="shared" si="36"/>
        <v>3.4103440057469091E-2</v>
      </c>
      <c r="AA349" s="55">
        <f t="shared" si="41"/>
        <v>78003.899999999994</v>
      </c>
      <c r="AB349" s="55">
        <f t="shared" si="42"/>
        <v>458851.0700000003</v>
      </c>
      <c r="AC349" s="55">
        <f t="shared" si="37"/>
        <v>2287273.6553424657</v>
      </c>
    </row>
    <row r="350" spans="1:29">
      <c r="A350" t="s">
        <v>183</v>
      </c>
      <c r="B350" s="16" t="str">
        <f>INDEX(emprunts!C:C,MATCH($A350,emprunts!A:A,0))</f>
        <v>CDC</v>
      </c>
      <c r="C350" s="18">
        <f>INDEX(emprunts!M:M,MATCH($A350,emprunts!$A:$A,0))</f>
        <v>38473</v>
      </c>
      <c r="D350" s="18">
        <f>IF(INDEX(emprunts!O:O,MATCH($A350,emprunts!$A:$A,0))="",INDEX(emprunts!N:N,MATCH($A350,emprunts!$A:$A,0)),MIN(INDEX(emprunts!N:N,MATCH($A350,emprunts!$A:$A,0)),INDEX(emprunts!O:O,MATCH($A350,emprunts!$A:$A,0))))</f>
        <v>40663</v>
      </c>
      <c r="E350" s="52">
        <f>INDEX(emprunts!I:I,MATCH($A350,emprunts!$A:$A,0))</f>
        <v>6</v>
      </c>
      <c r="F350" s="18" t="str">
        <f>INDEX(emprunts!P:P,MATCH($A350,emprunts!$A:$A,0))</f>
        <v>Variable</v>
      </c>
      <c r="G350" s="126" t="str">
        <f>IF(LEFT(A350,3)="vx_","vx",INDEX(Categorie,MATCH($A350,emprunts!$A$2:$A$149,0)))</f>
        <v>Non_st</v>
      </c>
      <c r="H350">
        <v>2007</v>
      </c>
      <c r="I350">
        <f t="shared" si="33"/>
        <v>1</v>
      </c>
      <c r="N350" s="58"/>
      <c r="O350" s="58"/>
      <c r="Q350" s="14"/>
      <c r="R350" s="14"/>
      <c r="S350" s="14"/>
      <c r="T350" s="14"/>
      <c r="U350" s="14">
        <f t="shared" si="45"/>
        <v>0</v>
      </c>
      <c r="V350" s="14">
        <f t="shared" si="40"/>
        <v>0</v>
      </c>
      <c r="X350" s="85">
        <f t="shared" si="35"/>
        <v>0</v>
      </c>
      <c r="Y350" s="21" t="str">
        <f t="shared" ref="Y350:Y410" si="46">IF(AND(AA350&gt;0,YEAR(C350)&lt;=H350),AA350/AC350,"")</f>
        <v/>
      </c>
      <c r="AA350" s="55">
        <f t="shared" si="41"/>
        <v>0</v>
      </c>
      <c r="AB350" s="55">
        <f t="shared" si="42"/>
        <v>0</v>
      </c>
      <c r="AC350" s="55">
        <f t="shared" si="37"/>
        <v>0</v>
      </c>
    </row>
    <row r="351" spans="1:29">
      <c r="A351" t="s">
        <v>185</v>
      </c>
      <c r="B351" s="16" t="str">
        <f>INDEX(emprunts!C:C,MATCH($A351,emprunts!A:A,0))</f>
        <v>CDC</v>
      </c>
      <c r="C351" s="18">
        <f>INDEX(emprunts!M:M,MATCH($A351,emprunts!$A:$A,0))</f>
        <v>38473</v>
      </c>
      <c r="D351" s="18">
        <f>IF(INDEX(emprunts!O:O,MATCH($A351,emprunts!$A:$A,0))="",INDEX(emprunts!N:N,MATCH($A351,emprunts!$A:$A,0)),MIN(INDEX(emprunts!N:N,MATCH($A351,emprunts!$A:$A,0)),INDEX(emprunts!O:O,MATCH($A351,emprunts!$A:$A,0))))</f>
        <v>41393</v>
      </c>
      <c r="E351" s="52">
        <f>INDEX(emprunts!I:I,MATCH($A351,emprunts!$A:$A,0))</f>
        <v>8</v>
      </c>
      <c r="F351" s="18" t="str">
        <f>INDEX(emprunts!P:P,MATCH($A351,emprunts!$A:$A,0))</f>
        <v>Variable</v>
      </c>
      <c r="G351" s="126" t="str">
        <f>IF(LEFT(A351,3)="vx_","vx",INDEX(Categorie,MATCH($A351,emprunts!$A$2:$A$149,0)))</f>
        <v>Non_st</v>
      </c>
      <c r="H351">
        <v>2007</v>
      </c>
      <c r="I351">
        <f t="shared" ref="I351:I412" si="47">1*(C351&lt;DATE(H351,12,31))</f>
        <v>1</v>
      </c>
      <c r="N351" s="14">
        <v>3425073.34</v>
      </c>
      <c r="O351" s="14">
        <v>2628433</v>
      </c>
      <c r="P351" s="4">
        <v>4.5129000000000002E-2</v>
      </c>
      <c r="Q351" s="14">
        <v>106560.92</v>
      </c>
      <c r="R351" s="14">
        <v>403019.23</v>
      </c>
      <c r="S351" s="14"/>
      <c r="T351" s="14">
        <v>79240.84</v>
      </c>
      <c r="U351" s="14">
        <f t="shared" si="45"/>
        <v>509580.14999999997</v>
      </c>
      <c r="V351" s="14">
        <f t="shared" si="40"/>
        <v>0</v>
      </c>
      <c r="X351" s="85">
        <f t="shared" ref="X351:X412" si="48">SUMPRODUCT((De=$A351)*(année_refi=$H351),Montant_transfere)</f>
        <v>0</v>
      </c>
      <c r="Y351" s="21">
        <f t="shared" si="46"/>
        <v>4.0587797590182072E-2</v>
      </c>
      <c r="AA351" s="55">
        <f t="shared" si="41"/>
        <v>114546.45000000001</v>
      </c>
      <c r="AB351" s="55">
        <f t="shared" si="42"/>
        <v>-0.77000000001862645</v>
      </c>
      <c r="AC351" s="55">
        <f t="shared" ref="AC351:AC411" si="49">MAX(0,(C351-DATE(H351,1,1))/365)*0+MAX(0,MIN(1,(MIN(DATE(H351,12,31),D351)-MAX(DATE(H351,1,1),C351))/365))*(O351+X351+R351/2)</f>
        <v>2822189.3475616439</v>
      </c>
    </row>
    <row r="352" spans="1:29">
      <c r="A352" t="s">
        <v>186</v>
      </c>
      <c r="B352" s="16" t="str">
        <f>INDEX(emprunts!C:C,MATCH($A352,emprunts!A:A,0))</f>
        <v>Dexia CL</v>
      </c>
      <c r="C352" s="18">
        <f>INDEX(emprunts!M:M,MATCH($A352,emprunts!$A:$A,0))</f>
        <v>38504</v>
      </c>
      <c r="D352" s="18">
        <f>IF(INDEX(emprunts!O:O,MATCH($A352,emprunts!$A:$A,0))="",INDEX(emprunts!N:N,MATCH($A352,emprunts!$A:$A,0)),MIN(INDEX(emprunts!N:N,MATCH($A352,emprunts!$A:$A,0)),INDEX(emprunts!O:O,MATCH($A352,emprunts!$A:$A,0))))</f>
        <v>38805</v>
      </c>
      <c r="E352" s="52">
        <f>INDEX(emprunts!I:I,MATCH($A352,emprunts!$A:$A,0))</f>
        <v>17.25</v>
      </c>
      <c r="F352" s="18" t="str">
        <f>INDEX(emprunts!P:P,MATCH($A352,emprunts!$A:$A,0))</f>
        <v>Change</v>
      </c>
      <c r="G352" s="126" t="str">
        <f>IF(LEFT(A352,3)="vx_","vx",INDEX(Categorie,MATCH($A352,emprunts!$A$2:$A$149,0)))</f>
        <v>Struct</v>
      </c>
      <c r="H352">
        <v>2007</v>
      </c>
      <c r="I352">
        <f t="shared" si="47"/>
        <v>1</v>
      </c>
      <c r="N352" s="58"/>
      <c r="O352" s="58"/>
      <c r="Q352" s="14"/>
      <c r="R352" s="14"/>
      <c r="S352" s="14"/>
      <c r="T352" s="14"/>
      <c r="U352" s="14">
        <f t="shared" si="45"/>
        <v>0</v>
      </c>
      <c r="V352" s="14">
        <f t="shared" si="40"/>
        <v>0</v>
      </c>
      <c r="X352" s="85">
        <f t="shared" si="48"/>
        <v>0</v>
      </c>
      <c r="Y352" s="21" t="str">
        <f t="shared" si="46"/>
        <v/>
      </c>
      <c r="AA352" s="55">
        <f t="shared" si="41"/>
        <v>0</v>
      </c>
      <c r="AB352" s="55">
        <f t="shared" si="42"/>
        <v>0</v>
      </c>
      <c r="AC352" s="55">
        <f t="shared" si="49"/>
        <v>0</v>
      </c>
    </row>
    <row r="353" spans="1:29">
      <c r="A353" t="s">
        <v>187</v>
      </c>
      <c r="B353" s="16" t="str">
        <f>INDEX(emprunts!C:C,MATCH($A353,emprunts!A:A,0))</f>
        <v>Dexia CL</v>
      </c>
      <c r="C353" s="18">
        <f>INDEX(emprunts!M:M,MATCH($A353,emprunts!$A:$A,0))</f>
        <v>38534</v>
      </c>
      <c r="D353" s="18">
        <f>IF(INDEX(emprunts!O:O,MATCH($A353,emprunts!$A:$A,0))="",INDEX(emprunts!N:N,MATCH($A353,emprunts!$A:$A,0)),MIN(INDEX(emprunts!N:N,MATCH($A353,emprunts!$A:$A,0)),INDEX(emprunts!O:O,MATCH($A353,emprunts!$A:$A,0))))</f>
        <v>38899</v>
      </c>
      <c r="E353" s="52">
        <f>INDEX(emprunts!I:I,MATCH($A353,emprunts!$A:$A,0))</f>
        <v>16</v>
      </c>
      <c r="F353" s="18" t="str">
        <f>INDEX(emprunts!P:P,MATCH($A353,emprunts!$A:$A,0))</f>
        <v>Pente</v>
      </c>
      <c r="G353" s="126" t="str">
        <f>IF(LEFT(A353,3)="vx_","vx",INDEX(Categorie,MATCH($A353,emprunts!$A$2:$A$149,0)))</f>
        <v>Struct</v>
      </c>
      <c r="H353">
        <v>2007</v>
      </c>
      <c r="I353">
        <f t="shared" si="47"/>
        <v>1</v>
      </c>
      <c r="N353" s="58"/>
      <c r="O353" s="58"/>
      <c r="Q353" s="14"/>
      <c r="R353" s="14"/>
      <c r="S353" s="14"/>
      <c r="T353" s="14"/>
      <c r="U353" s="14">
        <f t="shared" si="45"/>
        <v>0</v>
      </c>
      <c r="V353" s="14">
        <f t="shared" si="40"/>
        <v>0</v>
      </c>
      <c r="X353" s="85">
        <f t="shared" si="48"/>
        <v>0</v>
      </c>
      <c r="Y353" s="21" t="str">
        <f t="shared" si="46"/>
        <v/>
      </c>
      <c r="AA353" s="55">
        <f t="shared" si="41"/>
        <v>0</v>
      </c>
      <c r="AB353" s="55">
        <f t="shared" si="42"/>
        <v>0</v>
      </c>
      <c r="AC353" s="55">
        <f t="shared" si="49"/>
        <v>0</v>
      </c>
    </row>
    <row r="354" spans="1:29">
      <c r="A354" t="s">
        <v>193</v>
      </c>
      <c r="B354" s="16" t="str">
        <f>INDEX(emprunts!C:C,MATCH($A354,emprunts!A:A,0))</f>
        <v>Dexia CL</v>
      </c>
      <c r="C354" s="18">
        <f>INDEX(emprunts!M:M,MATCH($A354,emprunts!$A:$A,0))</f>
        <v>38687</v>
      </c>
      <c r="D354" s="18">
        <f>IF(INDEX(emprunts!O:O,MATCH($A354,emprunts!$A:$A,0))="",INDEX(emprunts!N:N,MATCH($A354,emprunts!$A:$A,0)),MIN(INDEX(emprunts!N:N,MATCH($A354,emprunts!$A:$A,0)),INDEX(emprunts!O:O,MATCH($A354,emprunts!$A:$A,0))))</f>
        <v>38805</v>
      </c>
      <c r="E354" s="52">
        <f>INDEX(emprunts!I:I,MATCH($A354,emprunts!$A:$A,0))</f>
        <v>16</v>
      </c>
      <c r="F354" s="18" t="str">
        <f>INDEX(emprunts!P:P,MATCH($A354,emprunts!$A:$A,0))</f>
        <v>Pente</v>
      </c>
      <c r="G354" s="126" t="str">
        <f>IF(LEFT(A354,3)="vx_","vx",INDEX(Categorie,MATCH($A354,emprunts!$A$2:$A$149,0)))</f>
        <v>Struct</v>
      </c>
      <c r="H354">
        <v>2007</v>
      </c>
      <c r="I354">
        <f t="shared" si="47"/>
        <v>1</v>
      </c>
      <c r="N354" s="58"/>
      <c r="O354" s="58"/>
      <c r="Q354" s="14"/>
      <c r="R354" s="14"/>
      <c r="S354" s="14"/>
      <c r="T354" s="14"/>
      <c r="U354" s="14">
        <f t="shared" si="45"/>
        <v>0</v>
      </c>
      <c r="V354" s="14">
        <f t="shared" si="40"/>
        <v>0</v>
      </c>
      <c r="X354" s="85">
        <f t="shared" si="48"/>
        <v>0</v>
      </c>
      <c r="Y354" s="21" t="str">
        <f t="shared" si="46"/>
        <v/>
      </c>
      <c r="AA354" s="55">
        <f t="shared" si="41"/>
        <v>0</v>
      </c>
      <c r="AB354" s="55">
        <f t="shared" si="42"/>
        <v>0</v>
      </c>
      <c r="AC354" s="55">
        <f t="shared" si="49"/>
        <v>0</v>
      </c>
    </row>
    <row r="355" spans="1:29">
      <c r="A355" t="s">
        <v>195</v>
      </c>
      <c r="B355" s="16" t="str">
        <f>INDEX(emprunts!C:C,MATCH($A355,emprunts!A:A,0))</f>
        <v>Dexia CL</v>
      </c>
      <c r="C355" s="18">
        <f>INDEX(emprunts!M:M,MATCH($A355,emprunts!$A:$A,0))</f>
        <v>38709</v>
      </c>
      <c r="D355" s="18">
        <f>IF(INDEX(emprunts!O:O,MATCH($A355,emprunts!$A:$A,0))="",INDEX(emprunts!N:N,MATCH($A355,emprunts!$A:$A,0)),MIN(INDEX(emprunts!N:N,MATCH($A355,emprunts!$A:$A,0)),INDEX(emprunts!O:O,MATCH($A355,emprunts!$A:$A,0))))</f>
        <v>39203</v>
      </c>
      <c r="E355" s="52">
        <f>INDEX(emprunts!I:I,MATCH($A355,emprunts!$A:$A,0))</f>
        <v>18.170000000000002</v>
      </c>
      <c r="F355" s="18" t="str">
        <f>INDEX(emprunts!P:P,MATCH($A355,emprunts!$A:$A,0))</f>
        <v>Pente</v>
      </c>
      <c r="G355" s="126" t="str">
        <f>IF(LEFT(A355,3)="vx_","vx",INDEX(Categorie,MATCH($A355,emprunts!$A$2:$A$149,0)))</f>
        <v>Struct</v>
      </c>
      <c r="H355">
        <v>2007</v>
      </c>
      <c r="I355">
        <f t="shared" si="47"/>
        <v>1</v>
      </c>
      <c r="N355" s="14">
        <v>10338137.08</v>
      </c>
      <c r="O355" s="14">
        <v>0</v>
      </c>
      <c r="P355" s="4">
        <v>1.7899999999999999E-2</v>
      </c>
      <c r="Q355" s="14">
        <f>57057.9+37088</f>
        <v>94145.9</v>
      </c>
      <c r="R355" s="14">
        <v>584321</v>
      </c>
      <c r="S355" s="14"/>
      <c r="T355" s="14">
        <v>0</v>
      </c>
      <c r="U355" s="14">
        <f t="shared" si="45"/>
        <v>678466.9</v>
      </c>
      <c r="V355" s="14">
        <f t="shared" si="40"/>
        <v>0</v>
      </c>
      <c r="X355" s="85">
        <f t="shared" si="48"/>
        <v>9754000</v>
      </c>
      <c r="Y355" s="21">
        <f t="shared" si="46"/>
        <v>2.8504466540558788E-2</v>
      </c>
      <c r="Z355" t="s">
        <v>635</v>
      </c>
      <c r="AA355" s="55">
        <f t="shared" si="41"/>
        <v>94145.9</v>
      </c>
      <c r="AB355" s="55">
        <f t="shared" si="42"/>
        <v>10338321</v>
      </c>
      <c r="AC355" s="55">
        <f t="shared" si="49"/>
        <v>3302847.2876712326</v>
      </c>
    </row>
    <row r="356" spans="1:29">
      <c r="A356" t="s">
        <v>197</v>
      </c>
      <c r="B356" s="16" t="str">
        <f>INDEX(emprunts!C:C,MATCH($A356,emprunts!A:A,0))</f>
        <v>Caisse d'Épargne</v>
      </c>
      <c r="C356" s="18">
        <f>INDEX(emprunts!M:M,MATCH($A356,emprunts!$A:$A,0))</f>
        <v>38773</v>
      </c>
      <c r="D356" s="18">
        <f>IF(INDEX(emprunts!O:O,MATCH($A356,emprunts!$A:$A,0))="",INDEX(emprunts!N:N,MATCH($A356,emprunts!$A:$A,0)),MIN(INDEX(emprunts!N:N,MATCH($A356,emprunts!$A:$A,0)),INDEX(emprunts!O:O,MATCH($A356,emprunts!$A:$A,0))))</f>
        <v>39288</v>
      </c>
      <c r="E356" s="52">
        <f>INDEX(emprunts!I:I,MATCH($A356,emprunts!$A:$A,0))</f>
        <v>20</v>
      </c>
      <c r="F356" s="18" t="str">
        <f>INDEX(emprunts!P:P,MATCH($A356,emprunts!$A:$A,0))</f>
        <v>Pente</v>
      </c>
      <c r="G356" s="126" t="str">
        <f>IF(LEFT(A356,3)="vx_","vx",INDEX(Categorie,MATCH($A356,emprunts!$A$2:$A$149,0)))</f>
        <v>Struct</v>
      </c>
      <c r="H356">
        <v>2007</v>
      </c>
      <c r="I356">
        <f t="shared" si="47"/>
        <v>1</v>
      </c>
      <c r="N356" s="14">
        <v>15694824</v>
      </c>
      <c r="O356" s="14">
        <v>0</v>
      </c>
      <c r="P356" s="4">
        <v>2.6100000000000002E-2</v>
      </c>
      <c r="Q356" s="14">
        <v>511324.11</v>
      </c>
      <c r="R356" s="14">
        <v>693954.64</v>
      </c>
      <c r="S356" s="14"/>
      <c r="T356" s="14">
        <v>0</v>
      </c>
      <c r="U356" s="14">
        <f t="shared" ref="U356:U386" si="50">SUM(Q356:S356)</f>
        <v>1205278.75</v>
      </c>
      <c r="V356" s="14">
        <f t="shared" si="40"/>
        <v>0</v>
      </c>
      <c r="X356" s="85">
        <f t="shared" si="48"/>
        <v>15001000</v>
      </c>
      <c r="Y356" s="21">
        <f t="shared" si="46"/>
        <v>2.6317039578826133E-2</v>
      </c>
      <c r="AA356" s="55">
        <f t="shared" si="41"/>
        <v>226855.43</v>
      </c>
      <c r="AB356" s="55">
        <f t="shared" si="42"/>
        <v>130.64000000059605</v>
      </c>
      <c r="AC356" s="55">
        <f t="shared" si="49"/>
        <v>8620096.8509589043</v>
      </c>
    </row>
    <row r="357" spans="1:29">
      <c r="A357" t="s">
        <v>199</v>
      </c>
      <c r="B357" s="16" t="str">
        <f>INDEX(emprunts!C:C,MATCH($A357,emprunts!A:A,0))</f>
        <v>Dexia CL</v>
      </c>
      <c r="C357" s="18">
        <f>INDEX(emprunts!M:M,MATCH($A357,emprunts!$A:$A,0))</f>
        <v>38777</v>
      </c>
      <c r="D357" s="18">
        <f>IF(INDEX(emprunts!O:O,MATCH($A357,emprunts!$A:$A,0))="",INDEX(emprunts!N:N,MATCH($A357,emprunts!$A:$A,0)),MIN(INDEX(emprunts!N:N,MATCH($A357,emprunts!$A:$A,0)),INDEX(emprunts!O:O,MATCH($A357,emprunts!$A:$A,0))))</f>
        <v>40452</v>
      </c>
      <c r="E357" s="52">
        <f>INDEX(emprunts!I:I,MATCH($A357,emprunts!$A:$A,0))</f>
        <v>16.25</v>
      </c>
      <c r="F357" s="18" t="str">
        <f>INDEX(emprunts!P:P,MATCH($A357,emprunts!$A:$A,0))</f>
        <v>Change</v>
      </c>
      <c r="G357" s="126" t="str">
        <f>IF(LEFT(A357,3)="vx_","vx",INDEX(Categorie,MATCH($A357,emprunts!$A$2:$A$149,0)))</f>
        <v>Struct</v>
      </c>
      <c r="H357">
        <v>2007</v>
      </c>
      <c r="I357">
        <f t="shared" si="47"/>
        <v>1</v>
      </c>
      <c r="N357" s="14">
        <v>11244941.99</v>
      </c>
      <c r="O357" s="14">
        <v>10091897</v>
      </c>
      <c r="P357" s="4">
        <v>2.9423000000000001E-2</v>
      </c>
      <c r="Q357" s="14">
        <v>413970.04</v>
      </c>
      <c r="R357" s="14">
        <v>1153044.8400000001</v>
      </c>
      <c r="S357" s="14"/>
      <c r="T357" s="14">
        <v>173160.14</v>
      </c>
      <c r="U357" s="14">
        <f t="shared" si="50"/>
        <v>1567014.8800000001</v>
      </c>
      <c r="V357" s="14">
        <f t="shared" si="40"/>
        <v>0</v>
      </c>
      <c r="X357" s="85">
        <f t="shared" si="48"/>
        <v>0</v>
      </c>
      <c r="Y357" s="21">
        <f t="shared" si="46"/>
        <v>2.9217279179571388E-2</v>
      </c>
      <c r="AA357" s="55">
        <f t="shared" si="41"/>
        <v>310848.20999999996</v>
      </c>
      <c r="AB357" s="55">
        <f t="shared" si="42"/>
        <v>-0.16000000014901161</v>
      </c>
      <c r="AC357" s="55">
        <f t="shared" si="49"/>
        <v>10639190.873643836</v>
      </c>
    </row>
    <row r="358" spans="1:29">
      <c r="A358" t="s">
        <v>204</v>
      </c>
      <c r="B358" s="16" t="str">
        <f>INDEX(emprunts!C:C,MATCH($A358,emprunts!A:A,0))</f>
        <v>Crédit Agricole</v>
      </c>
      <c r="C358" s="18">
        <f>INDEX(emprunts!M:M,MATCH($A358,emprunts!$A:$A,0))</f>
        <v>38782</v>
      </c>
      <c r="D358" s="18">
        <f>IF(INDEX(emprunts!O:O,MATCH($A358,emprunts!$A:$A,0))="",INDEX(emprunts!N:N,MATCH($A358,emprunts!$A:$A,0)),MIN(INDEX(emprunts!N:N,MATCH($A358,emprunts!$A:$A,0)),INDEX(emprunts!O:O,MATCH($A358,emprunts!$A:$A,0))))</f>
        <v>44257</v>
      </c>
      <c r="E358" s="52">
        <f>INDEX(emprunts!I:I,MATCH($A358,emprunts!$A:$A,0))</f>
        <v>15</v>
      </c>
      <c r="F358" s="18" t="str">
        <f>INDEX(emprunts!P:P,MATCH($A358,emprunts!$A:$A,0))</f>
        <v>Barrière</v>
      </c>
      <c r="G358" s="126" t="str">
        <f>IF(LEFT(A358,3)="vx_","vx",INDEX(Categorie,MATCH($A358,emprunts!$A$2:$A$149,0)))</f>
        <v>Struct</v>
      </c>
      <c r="H358">
        <v>2007</v>
      </c>
      <c r="I358">
        <f t="shared" si="47"/>
        <v>1</v>
      </c>
      <c r="N358" s="58"/>
      <c r="O358" s="58"/>
      <c r="Q358" s="14"/>
      <c r="R358" s="14"/>
      <c r="S358" s="14"/>
      <c r="T358" s="14"/>
      <c r="U358" s="14">
        <f t="shared" si="50"/>
        <v>0</v>
      </c>
      <c r="V358" s="14">
        <f t="shared" si="40"/>
        <v>0</v>
      </c>
      <c r="X358" s="85">
        <f t="shared" si="48"/>
        <v>0</v>
      </c>
      <c r="Y358" s="21" t="str">
        <f t="shared" si="46"/>
        <v/>
      </c>
      <c r="AA358" s="55">
        <f t="shared" si="41"/>
        <v>0</v>
      </c>
      <c r="AB358" s="55">
        <f t="shared" si="42"/>
        <v>0</v>
      </c>
      <c r="AC358" s="55">
        <f t="shared" si="49"/>
        <v>0</v>
      </c>
    </row>
    <row r="359" spans="1:29">
      <c r="A359" t="s">
        <v>207</v>
      </c>
      <c r="B359" s="16" t="str">
        <f>INDEX(emprunts!C:C,MATCH($A359,emprunts!A:A,0))</f>
        <v>Crédit Agricole</v>
      </c>
      <c r="C359" s="18">
        <f>INDEX(emprunts!M:M,MATCH($A359,emprunts!$A:$A,0))</f>
        <v>38782</v>
      </c>
      <c r="D359" s="18">
        <f>IF(INDEX(emprunts!O:O,MATCH($A359,emprunts!$A:$A,0))="",INDEX(emprunts!N:N,MATCH($A359,emprunts!$A:$A,0)),MIN(INDEX(emprunts!N:N,MATCH($A359,emprunts!$A:$A,0)),INDEX(emprunts!O:O,MATCH($A359,emprunts!$A:$A,0))))</f>
        <v>44261</v>
      </c>
      <c r="E359" s="52">
        <f>INDEX(emprunts!I:I,MATCH($A359,emprunts!$A:$A,0))</f>
        <v>15</v>
      </c>
      <c r="F359" s="18" t="str">
        <f>INDEX(emprunts!P:P,MATCH($A359,emprunts!$A:$A,0))</f>
        <v>Fixe</v>
      </c>
      <c r="G359" s="126" t="str">
        <f>IF(LEFT(A359,3)="vx_","vx",INDEX(Categorie,MATCH($A359,emprunts!$A$2:$A$149,0)))</f>
        <v>Non_st</v>
      </c>
      <c r="H359">
        <v>2007</v>
      </c>
      <c r="I359">
        <f t="shared" si="47"/>
        <v>1</v>
      </c>
      <c r="N359" s="14">
        <v>5000000</v>
      </c>
      <c r="O359" s="14">
        <v>4743162</v>
      </c>
      <c r="P359" s="4">
        <v>3.6200000000000003E-2</v>
      </c>
      <c r="Q359" s="14">
        <v>181000</v>
      </c>
      <c r="R359" s="14">
        <v>256838.5</v>
      </c>
      <c r="S359" s="14"/>
      <c r="T359" s="14">
        <v>140739.71</v>
      </c>
      <c r="U359" s="14">
        <f t="shared" si="50"/>
        <v>437838.5</v>
      </c>
      <c r="V359" s="14">
        <f t="shared" si="40"/>
        <v>0</v>
      </c>
      <c r="X359" s="85">
        <f t="shared" si="48"/>
        <v>0</v>
      </c>
      <c r="Y359" s="21">
        <f t="shared" si="46"/>
        <v>3.5604002175490118E-2</v>
      </c>
      <c r="AA359" s="55">
        <f t="shared" si="41"/>
        <v>172972.58999999997</v>
      </c>
      <c r="AB359" s="55">
        <f t="shared" si="42"/>
        <v>0.5</v>
      </c>
      <c r="AC359" s="55">
        <f t="shared" si="49"/>
        <v>4858234.4520547949</v>
      </c>
    </row>
    <row r="360" spans="1:29">
      <c r="A360" t="s">
        <v>209</v>
      </c>
      <c r="B360" s="16" t="str">
        <f>INDEX(emprunts!C:C,MATCH($A360,emprunts!A:A,0))</f>
        <v>Dexia CL</v>
      </c>
      <c r="C360" s="18">
        <f>INDEX(emprunts!M:M,MATCH($A360,emprunts!$A:$A,0))</f>
        <v>38849</v>
      </c>
      <c r="D360" s="18">
        <f>IF(INDEX(emprunts!O:O,MATCH($A360,emprunts!$A:$A,0))="",INDEX(emprunts!N:N,MATCH($A360,emprunts!$A:$A,0)),MIN(INDEX(emprunts!N:N,MATCH($A360,emprunts!$A:$A,0)),INDEX(emprunts!O:O,MATCH($A360,emprunts!$A:$A,0))))</f>
        <v>39539</v>
      </c>
      <c r="E360" s="52">
        <f>INDEX(emprunts!I:I,MATCH($A360,emprunts!$A:$A,0))</f>
        <v>16.670000000000002</v>
      </c>
      <c r="F360" s="18" t="str">
        <f>INDEX(emprunts!P:P,MATCH($A360,emprunts!$A:$A,0))</f>
        <v>Fixe</v>
      </c>
      <c r="G360" s="126" t="str">
        <f>IF(LEFT(A360,3)="vx_","vx",INDEX(Categorie,MATCH($A360,emprunts!$A$2:$A$149,0)))</f>
        <v>Non_st</v>
      </c>
      <c r="H360">
        <v>2007</v>
      </c>
      <c r="I360">
        <f t="shared" si="47"/>
        <v>1</v>
      </c>
      <c r="N360" s="14">
        <v>7500000</v>
      </c>
      <c r="O360" s="14">
        <v>7500000</v>
      </c>
      <c r="P360" s="4">
        <v>4.3221000000000002E-2</v>
      </c>
      <c r="Q360" s="14">
        <v>244244.72</v>
      </c>
      <c r="R360" s="14">
        <v>0</v>
      </c>
      <c r="S360" s="14"/>
      <c r="T360" s="14">
        <v>25408.43</v>
      </c>
      <c r="U360" s="14">
        <f t="shared" si="50"/>
        <v>244244.72</v>
      </c>
      <c r="V360" s="14">
        <f t="shared" si="40"/>
        <v>0</v>
      </c>
      <c r="X360" s="85">
        <f t="shared" si="48"/>
        <v>0</v>
      </c>
      <c r="Y360" s="21">
        <f t="shared" si="46"/>
        <v>3.6052527380952382E-2</v>
      </c>
      <c r="AA360" s="55">
        <f t="shared" si="41"/>
        <v>269653.15000000002</v>
      </c>
      <c r="AB360" s="55">
        <f t="shared" si="42"/>
        <v>0</v>
      </c>
      <c r="AC360" s="55">
        <f t="shared" si="49"/>
        <v>7479452.0547945211</v>
      </c>
    </row>
    <row r="361" spans="1:29">
      <c r="A361" t="s">
        <v>211</v>
      </c>
      <c r="B361" s="16" t="str">
        <f>INDEX(emprunts!C:C,MATCH($A361,emprunts!A:A,0))</f>
        <v>Dexia CL</v>
      </c>
      <c r="C361" s="18">
        <f>INDEX(emprunts!M:M,MATCH($A361,emprunts!$A:$A,0))</f>
        <v>38899</v>
      </c>
      <c r="D361" s="18">
        <f>IF(INDEX(emprunts!O:O,MATCH($A361,emprunts!$A:$A,0))="",INDEX(emprunts!N:N,MATCH($A361,emprunts!$A:$A,0)),MIN(INDEX(emprunts!N:N,MATCH($A361,emprunts!$A:$A,0)),INDEX(emprunts!O:O,MATCH($A361,emprunts!$A:$A,0))))</f>
        <v>40737</v>
      </c>
      <c r="E361" s="52">
        <f>INDEX(emprunts!I:I,MATCH($A361,emprunts!$A:$A,0))</f>
        <v>20</v>
      </c>
      <c r="F361" s="18" t="str">
        <f>INDEX(emprunts!P:P,MATCH($A361,emprunts!$A:$A,0))</f>
        <v>Change</v>
      </c>
      <c r="G361" s="126" t="str">
        <f>IF(LEFT(A361,3)="vx_","vx",INDEX(Categorie,MATCH($A361,emprunts!$A$2:$A$149,0)))</f>
        <v>Struct</v>
      </c>
      <c r="H361">
        <v>2007</v>
      </c>
      <c r="I361">
        <f t="shared" si="47"/>
        <v>1</v>
      </c>
      <c r="N361" s="14">
        <v>16517587</v>
      </c>
      <c r="O361" s="14">
        <v>16517587</v>
      </c>
      <c r="P361" s="4">
        <v>3.9974999999999997E-2</v>
      </c>
      <c r="Q361" s="14">
        <v>659831.72</v>
      </c>
      <c r="R361" s="14">
        <v>340000</v>
      </c>
      <c r="S361" s="14"/>
      <c r="T361" s="14">
        <v>324010.11</v>
      </c>
      <c r="U361" s="14">
        <f t="shared" si="50"/>
        <v>999831.72</v>
      </c>
      <c r="V361" s="14">
        <f t="shared" si="40"/>
        <v>0</v>
      </c>
      <c r="X361" s="85">
        <f t="shared" si="48"/>
        <v>0</v>
      </c>
      <c r="Y361" s="21">
        <f t="shared" si="46"/>
        <v>3.9239711932634071E-2</v>
      </c>
      <c r="AA361" s="55">
        <f t="shared" si="41"/>
        <v>653022.09</v>
      </c>
      <c r="AB361" s="55">
        <f t="shared" si="42"/>
        <v>340000</v>
      </c>
      <c r="AC361" s="55">
        <f t="shared" si="49"/>
        <v>16641867.583561644</v>
      </c>
    </row>
    <row r="362" spans="1:29">
      <c r="A362" t="s">
        <v>213</v>
      </c>
      <c r="B362" s="16" t="str">
        <f>INDEX(emprunts!C:C,MATCH($A362,emprunts!A:A,0))</f>
        <v>Dexia CL</v>
      </c>
      <c r="C362" s="18">
        <f>INDEX(emprunts!M:M,MATCH($A362,emprunts!$A:$A,0))</f>
        <v>38899</v>
      </c>
      <c r="D362" s="18">
        <f>IF(INDEX(emprunts!O:O,MATCH($A362,emprunts!$A:$A,0))="",INDEX(emprunts!N:N,MATCH($A362,emprunts!$A:$A,0)),MIN(INDEX(emprunts!N:N,MATCH($A362,emprunts!$A:$A,0)),INDEX(emprunts!O:O,MATCH($A362,emprunts!$A:$A,0))))</f>
        <v>39783</v>
      </c>
      <c r="E362" s="52">
        <f>INDEX(emprunts!I:I,MATCH($A362,emprunts!$A:$A,0))</f>
        <v>19.75</v>
      </c>
      <c r="F362" s="18" t="str">
        <f>INDEX(emprunts!P:P,MATCH($A362,emprunts!$A:$A,0))</f>
        <v>Pente</v>
      </c>
      <c r="G362" s="126" t="str">
        <f>IF(LEFT(A362,3)="vx_","vx",INDEX(Categorie,MATCH($A362,emprunts!$A$2:$A$149,0)))</f>
        <v>Struct</v>
      </c>
      <c r="H362">
        <v>2007</v>
      </c>
      <c r="I362">
        <f t="shared" si="47"/>
        <v>1</v>
      </c>
      <c r="N362" s="14">
        <v>14054467.35</v>
      </c>
      <c r="O362" s="14">
        <v>13207481</v>
      </c>
      <c r="P362" s="4">
        <v>3.1600000000000003E-2</v>
      </c>
      <c r="Q362" s="14">
        <v>338025.56</v>
      </c>
      <c r="R362" s="14">
        <v>846986.41</v>
      </c>
      <c r="S362" s="14"/>
      <c r="T362" s="14">
        <v>312447.14</v>
      </c>
      <c r="U362" s="14">
        <f t="shared" si="50"/>
        <v>1185011.97</v>
      </c>
      <c r="V362" s="14">
        <f t="shared" si="40"/>
        <v>0</v>
      </c>
      <c r="X362" s="85">
        <f t="shared" si="48"/>
        <v>0</v>
      </c>
      <c r="Y362" s="21">
        <f t="shared" si="46"/>
        <v>3.1243393343085245E-2</v>
      </c>
      <c r="AA362" s="55">
        <f t="shared" si="41"/>
        <v>424711.1</v>
      </c>
      <c r="AB362" s="55">
        <f t="shared" si="42"/>
        <v>0.41000000014901161</v>
      </c>
      <c r="AC362" s="55">
        <f t="shared" si="49"/>
        <v>13593629.070191782</v>
      </c>
    </row>
    <row r="363" spans="1:29">
      <c r="A363" t="s">
        <v>215</v>
      </c>
      <c r="B363" s="16" t="str">
        <f>INDEX(emprunts!C:C,MATCH($A363,emprunts!A:A,0))</f>
        <v>Dexia CL</v>
      </c>
      <c r="C363" s="18">
        <f>INDEX(emprunts!M:M,MATCH($A363,emprunts!$A:$A,0))</f>
        <v>38991</v>
      </c>
      <c r="D363" s="18">
        <f>IF(INDEX(emprunts!O:O,MATCH($A363,emprunts!$A:$A,0))="",INDEX(emprunts!N:N,MATCH($A363,emprunts!$A:$A,0)),MIN(INDEX(emprunts!N:N,MATCH($A363,emprunts!$A:$A,0)),INDEX(emprunts!O:O,MATCH($A363,emprunts!$A:$A,0))))</f>
        <v>40087</v>
      </c>
      <c r="E363" s="52">
        <f>INDEX(emprunts!I:I,MATCH($A363,emprunts!$A:$A,0))</f>
        <v>19</v>
      </c>
      <c r="F363" s="18" t="str">
        <f>INDEX(emprunts!P:P,MATCH($A363,emprunts!$A:$A,0))</f>
        <v>Change</v>
      </c>
      <c r="G363" s="126" t="str">
        <f>IF(LEFT(A363,3)="vx_","vx",INDEX(Categorie,MATCH($A363,emprunts!$A$2:$A$149,0)))</f>
        <v>Struct</v>
      </c>
      <c r="H363">
        <v>2007</v>
      </c>
      <c r="I363">
        <f t="shared" si="47"/>
        <v>1</v>
      </c>
      <c r="N363" s="14">
        <v>12000000</v>
      </c>
      <c r="O363" s="14">
        <v>11724387</v>
      </c>
      <c r="P363" s="4">
        <v>3.3683999999999999E-2</v>
      </c>
      <c r="Q363" s="14">
        <v>320943.37</v>
      </c>
      <c r="R363" s="14">
        <v>275613</v>
      </c>
      <c r="S363" s="14"/>
      <c r="T363" s="14">
        <v>98393.66</v>
      </c>
      <c r="U363" s="14">
        <f t="shared" si="50"/>
        <v>596556.37</v>
      </c>
      <c r="V363" s="14">
        <f t="shared" si="40"/>
        <v>0</v>
      </c>
      <c r="X363" s="85">
        <f t="shared" si="48"/>
        <v>0</v>
      </c>
      <c r="Y363" s="21">
        <f t="shared" si="46"/>
        <v>3.328967923351437E-2</v>
      </c>
      <c r="Z363" t="s">
        <v>669</v>
      </c>
      <c r="AA363" s="55">
        <f t="shared" si="41"/>
        <v>393806.73000000004</v>
      </c>
      <c r="AB363" s="55">
        <f t="shared" si="42"/>
        <v>3466196</v>
      </c>
      <c r="AC363" s="55">
        <f t="shared" si="49"/>
        <v>11829694.339726027</v>
      </c>
    </row>
    <row r="364" spans="1:29">
      <c r="A364" s="1" t="s">
        <v>461</v>
      </c>
      <c r="B364" s="16" t="str">
        <f>INDEX(emprunts!C:C,MATCH($A364,emprunts!A:A,0))</f>
        <v>Dexia CL</v>
      </c>
      <c r="C364" s="18">
        <f>INDEX(emprunts!M:M,MATCH($A364,emprunts!$A:$A,0))</f>
        <v>38805</v>
      </c>
      <c r="D364" s="18">
        <f>IF(INDEX(emprunts!O:O,MATCH($A364,emprunts!$A:$A,0))="",INDEX(emprunts!N:N,MATCH($A364,emprunts!$A:$A,0)),MIN(INDEX(emprunts!N:N,MATCH($A364,emprunts!$A:$A,0)),INDEX(emprunts!O:O,MATCH($A364,emprunts!$A:$A,0))))</f>
        <v>39114</v>
      </c>
      <c r="E364" s="52">
        <f>INDEX(emprunts!I:I,MATCH($A364,emprunts!$A:$A,0))</f>
        <v>19.079999999999998</v>
      </c>
      <c r="F364" s="18" t="str">
        <f>INDEX(emprunts!P:P,MATCH($A364,emprunts!$A:$A,0))</f>
        <v>Pente</v>
      </c>
      <c r="G364" s="126" t="str">
        <f>IF(LEFT(A364,3)="vx_","vx",INDEX(Categorie,MATCH($A364,emprunts!$A$2:$A$149,0)))</f>
        <v>Struct</v>
      </c>
      <c r="H364">
        <v>2007</v>
      </c>
      <c r="I364">
        <f t="shared" si="47"/>
        <v>1</v>
      </c>
      <c r="K364" t="s">
        <v>155</v>
      </c>
      <c r="N364" s="14">
        <v>10344246.199999999</v>
      </c>
      <c r="O364" s="14">
        <v>0</v>
      </c>
      <c r="P364" s="4"/>
      <c r="Q364" s="14">
        <v>45720.08</v>
      </c>
      <c r="R364" s="14">
        <v>0</v>
      </c>
      <c r="S364" s="14"/>
      <c r="T364" s="14">
        <v>0</v>
      </c>
      <c r="U364" s="14">
        <f t="shared" si="50"/>
        <v>45720.08</v>
      </c>
      <c r="V364" s="14">
        <f t="shared" si="40"/>
        <v>0</v>
      </c>
      <c r="X364" s="85">
        <f t="shared" si="48"/>
        <v>10344000</v>
      </c>
      <c r="Y364" s="21">
        <f t="shared" si="46"/>
        <v>2.7034260939799916E-2</v>
      </c>
      <c r="AA364" s="55">
        <f t="shared" si="41"/>
        <v>23750.45</v>
      </c>
      <c r="AB364" s="55">
        <f t="shared" si="42"/>
        <v>3000392</v>
      </c>
      <c r="AC364" s="55">
        <f t="shared" si="49"/>
        <v>878531.50684931502</v>
      </c>
    </row>
    <row r="365" spans="1:29">
      <c r="A365" t="s">
        <v>217</v>
      </c>
      <c r="B365" s="16" t="str">
        <f>INDEX(emprunts!C:C,MATCH($A365,emprunts!A:A,0))</f>
        <v>Dexia CL</v>
      </c>
      <c r="C365" s="18">
        <f>INDEX(emprunts!M:M,MATCH($A365,emprunts!$A:$A,0))</f>
        <v>38991</v>
      </c>
      <c r="D365" s="18">
        <f>IF(INDEX(emprunts!O:O,MATCH($A365,emprunts!$A:$A,0))="",INDEX(emprunts!N:N,MATCH($A365,emprunts!$A:$A,0)),MIN(INDEX(emprunts!N:N,MATCH($A365,emprunts!$A:$A,0)),INDEX(emprunts!O:O,MATCH($A365,emprunts!$A:$A,0))))</f>
        <v>39783</v>
      </c>
      <c r="E365" s="52">
        <f>INDEX(emprunts!I:I,MATCH($A365,emprunts!$A:$A,0))</f>
        <v>19.170000000000002</v>
      </c>
      <c r="F365" s="18" t="str">
        <f>INDEX(emprunts!P:P,MATCH($A365,emprunts!$A:$A,0))</f>
        <v>Change</v>
      </c>
      <c r="G365" s="126" t="str">
        <f>IF(LEFT(A365,3)="vx_","vx",INDEX(Categorie,MATCH($A365,emprunts!$A$2:$A$149,0)))</f>
        <v>Struct</v>
      </c>
      <c r="H365">
        <v>2007</v>
      </c>
      <c r="I365">
        <f t="shared" si="47"/>
        <v>1</v>
      </c>
      <c r="N365" s="14">
        <v>12000000</v>
      </c>
      <c r="O365" s="14">
        <v>11724387</v>
      </c>
      <c r="P365" s="4">
        <v>3.0335999999999998E-2</v>
      </c>
      <c r="Q365" s="14">
        <v>354983.38</v>
      </c>
      <c r="R365" s="14">
        <v>275613</v>
      </c>
      <c r="S365" s="14"/>
      <c r="T365" s="14">
        <v>29213.26</v>
      </c>
      <c r="U365" s="14">
        <f t="shared" si="50"/>
        <v>630596.38</v>
      </c>
      <c r="V365" s="14">
        <f t="shared" si="40"/>
        <v>0</v>
      </c>
      <c r="X365" s="85">
        <f t="shared" si="48"/>
        <v>0</v>
      </c>
      <c r="Y365" s="21">
        <f t="shared" si="46"/>
        <v>3.0324706598320119E-2</v>
      </c>
      <c r="AA365" s="55">
        <f t="shared" si="41"/>
        <v>358732.01</v>
      </c>
      <c r="AB365" s="55">
        <f t="shared" si="42"/>
        <v>3488147</v>
      </c>
      <c r="AC365" s="55">
        <f t="shared" si="49"/>
        <v>11829694.339726027</v>
      </c>
    </row>
    <row r="366" spans="1:29">
      <c r="A366" s="1" t="s">
        <v>501</v>
      </c>
      <c r="B366" s="16" t="str">
        <f>INDEX(emprunts!C:C,MATCH($A366,emprunts!A:A,0))</f>
        <v>Société Générale</v>
      </c>
      <c r="C366" s="18">
        <f>INDEX(emprunts!M:M,MATCH($A366,emprunts!$A:$A,0))</f>
        <v>39043</v>
      </c>
      <c r="D366" s="18">
        <f>IF(INDEX(emprunts!O:O,MATCH($A366,emprunts!$A:$A,0))="",INDEX(emprunts!N:N,MATCH($A366,emprunts!$A:$A,0)),MIN(INDEX(emprunts!N:N,MATCH($A366,emprunts!$A:$A,0)),INDEX(emprunts!O:O,MATCH($A366,emprunts!$A:$A,0))))</f>
        <v>39356</v>
      </c>
      <c r="E366" s="52">
        <f>INDEX(emprunts!I:I,MATCH($A366,emprunts!$A:$A,0))</f>
        <v>20</v>
      </c>
      <c r="F366" s="18" t="str">
        <f>INDEX(emprunts!P:P,MATCH($A366,emprunts!$A:$A,0))</f>
        <v>Variable</v>
      </c>
      <c r="G366" s="126" t="str">
        <f>IF(LEFT(A366,3)="vx_","vx",INDEX(Categorie,MATCH($A366,emprunts!$A$2:$A$149,0)))</f>
        <v>Non_st</v>
      </c>
      <c r="H366">
        <v>2007</v>
      </c>
      <c r="I366">
        <f t="shared" si="47"/>
        <v>1</v>
      </c>
      <c r="N366" s="14">
        <v>10000000</v>
      </c>
      <c r="O366" s="14">
        <v>0</v>
      </c>
      <c r="Q366" s="14">
        <v>115147.8</v>
      </c>
      <c r="R366" s="14">
        <v>0</v>
      </c>
      <c r="S366" s="14"/>
      <c r="T366" s="14">
        <v>0</v>
      </c>
      <c r="U366" s="14">
        <f t="shared" si="50"/>
        <v>115147.8</v>
      </c>
      <c r="V366" s="14">
        <f t="shared" si="40"/>
        <v>0</v>
      </c>
      <c r="X366" s="85">
        <f t="shared" si="48"/>
        <v>10000000</v>
      </c>
      <c r="Y366" s="21">
        <f t="shared" si="46"/>
        <v>1.2230563058608057E-2</v>
      </c>
      <c r="Z366" t="s">
        <v>632</v>
      </c>
      <c r="AA366" s="55">
        <f t="shared" si="41"/>
        <v>91477.91</v>
      </c>
      <c r="AB366" s="55">
        <f t="shared" si="42"/>
        <v>2000000</v>
      </c>
      <c r="AC366" s="55">
        <f t="shared" si="49"/>
        <v>7479452.0547945211</v>
      </c>
    </row>
    <row r="367" spans="1:29">
      <c r="A367" t="s">
        <v>503</v>
      </c>
      <c r="B367" s="16" t="str">
        <f>INDEX(emprunts!C:C,MATCH($A367,emprunts!A:A,0))</f>
        <v>Société Générale</v>
      </c>
      <c r="C367" s="18">
        <f>INDEX(emprunts!M:M,MATCH($A367,emprunts!$A:$A,0))</f>
        <v>39356</v>
      </c>
      <c r="D367" s="18">
        <f>IF(INDEX(emprunts!O:O,MATCH($A367,emprunts!$A:$A,0))="",INDEX(emprunts!N:N,MATCH($A367,emprunts!$A:$A,0)),MIN(INDEX(emprunts!N:N,MATCH($A367,emprunts!$A:$A,0)),INDEX(emprunts!O:O,MATCH($A367,emprunts!$A:$A,0))))</f>
        <v>40513</v>
      </c>
      <c r="E367" s="52">
        <f>INDEX(emprunts!I:I,MATCH($A367,emprunts!$A:$A,0))</f>
        <v>20</v>
      </c>
      <c r="F367" s="18" t="str">
        <f>INDEX(emprunts!P:P,MATCH($A367,emprunts!$A:$A,0))</f>
        <v>Barrière avec multiplicateur</v>
      </c>
      <c r="G367" s="126" t="str">
        <f>IF(LEFT(A367,3)="vx_","vx",INDEX(Categorie,MATCH($A367,emprunts!$A$2:$A$149,0)))</f>
        <v>Struct</v>
      </c>
      <c r="H367">
        <v>2007</v>
      </c>
      <c r="I367">
        <f t="shared" si="47"/>
        <v>1</v>
      </c>
      <c r="N367" s="14">
        <v>3000000</v>
      </c>
      <c r="O367" s="14">
        <v>2899255</v>
      </c>
      <c r="P367" s="4">
        <v>4.0583000000000001E-2</v>
      </c>
      <c r="Q367" s="14">
        <v>108587.5</v>
      </c>
      <c r="R367" s="14">
        <v>100745.25</v>
      </c>
      <c r="S367" s="14"/>
      <c r="T367" s="14">
        <v>0</v>
      </c>
      <c r="U367" s="14">
        <f t="shared" si="50"/>
        <v>209332.75</v>
      </c>
      <c r="V367" s="14">
        <f t="shared" si="40"/>
        <v>0</v>
      </c>
      <c r="X367" s="85">
        <f t="shared" si="48"/>
        <v>0</v>
      </c>
      <c r="Y367" s="21">
        <f t="shared" si="46"/>
        <v>0.14766042518020192</v>
      </c>
      <c r="AA367" s="55">
        <f t="shared" si="41"/>
        <v>108587.5</v>
      </c>
      <c r="AB367" s="55" t="str">
        <f t="shared" si="42"/>
        <v/>
      </c>
      <c r="AC367" s="55">
        <f t="shared" si="49"/>
        <v>735386.61335616442</v>
      </c>
    </row>
    <row r="368" spans="1:29">
      <c r="A368" t="s">
        <v>502</v>
      </c>
      <c r="B368" s="16" t="str">
        <f>INDEX(emprunts!C:C,MATCH($A368,emprunts!A:A,0))</f>
        <v>Société Générale</v>
      </c>
      <c r="C368" s="18">
        <f>INDEX(emprunts!M:M,MATCH($A368,emprunts!$A:$A,0))</f>
        <v>39356</v>
      </c>
      <c r="D368" s="18">
        <f>IF(INDEX(emprunts!O:O,MATCH($A368,emprunts!$A:$A,0))="",INDEX(emprunts!N:N,MATCH($A368,emprunts!$A:$A,0)),MIN(INDEX(emprunts!N:N,MATCH($A368,emprunts!$A:$A,0)),INDEX(emprunts!O:O,MATCH($A368,emprunts!$A:$A,0))))</f>
        <v>40452</v>
      </c>
      <c r="E368" s="52">
        <f>INDEX(emprunts!I:I,MATCH($A368,emprunts!$A:$A,0))</f>
        <v>20.079999999999998</v>
      </c>
      <c r="F368" s="18" t="str">
        <f>INDEX(emprunts!P:P,MATCH($A368,emprunts!$A:$A,0))</f>
        <v>Écart d'inflation</v>
      </c>
      <c r="G368" s="126" t="str">
        <f>IF(LEFT(A368,3)="vx_","vx",INDEX(Categorie,MATCH($A368,emprunts!$A$2:$A$149,0)))</f>
        <v>Struct</v>
      </c>
      <c r="H368">
        <v>2007</v>
      </c>
      <c r="I368">
        <f t="shared" si="47"/>
        <v>1</v>
      </c>
      <c r="N368" s="14">
        <v>5000000</v>
      </c>
      <c r="O368" s="14">
        <v>5000000</v>
      </c>
      <c r="P368" s="4">
        <v>3.3480999999999997E-2</v>
      </c>
      <c r="Q368" s="14">
        <v>0</v>
      </c>
      <c r="R368" s="14">
        <v>0</v>
      </c>
      <c r="S368" s="14"/>
      <c r="T368" s="14">
        <v>0</v>
      </c>
      <c r="U368" s="14">
        <f t="shared" si="50"/>
        <v>0</v>
      </c>
      <c r="V368" s="14">
        <f t="shared" si="40"/>
        <v>0</v>
      </c>
      <c r="X368" s="85">
        <f t="shared" si="48"/>
        <v>0</v>
      </c>
      <c r="Y368" s="21" t="str">
        <f t="shared" si="46"/>
        <v/>
      </c>
      <c r="AA368" s="55">
        <f t="shared" si="41"/>
        <v>0</v>
      </c>
      <c r="AB368" s="55" t="str">
        <f t="shared" si="42"/>
        <v/>
      </c>
      <c r="AC368" s="55">
        <f t="shared" si="49"/>
        <v>1246575.3424657534</v>
      </c>
    </row>
    <row r="369" spans="1:29">
      <c r="A369" t="s">
        <v>222</v>
      </c>
      <c r="B369" s="16" t="str">
        <f>INDEX(emprunts!C:C,MATCH($A369,emprunts!A:A,0))</f>
        <v>Dexia CL</v>
      </c>
      <c r="C369" s="18">
        <f>INDEX(emprunts!M:M,MATCH($A369,emprunts!$A:$A,0))</f>
        <v>39114</v>
      </c>
      <c r="D369" s="18">
        <f>IF(INDEX(emprunts!O:O,MATCH($A369,emprunts!$A:$A,0))="",INDEX(emprunts!N:N,MATCH($A369,emprunts!$A:$A,0)),MIN(INDEX(emprunts!N:N,MATCH($A369,emprunts!$A:$A,0)),INDEX(emprunts!O:O,MATCH($A369,emprunts!$A:$A,0))))</f>
        <v>39668</v>
      </c>
      <c r="E369" s="52">
        <f>INDEX(emprunts!I:I,MATCH($A369,emprunts!$A:$A,0))</f>
        <v>18.75</v>
      </c>
      <c r="F369" s="18" t="str">
        <f>INDEX(emprunts!P:P,MATCH($A369,emprunts!$A:$A,0))</f>
        <v>Change</v>
      </c>
      <c r="G369" s="126" t="str">
        <f>IF(LEFT(A369,3)="vx_","vx",INDEX(Categorie,MATCH($A369,emprunts!$A$2:$A$149,0)))</f>
        <v>Struct</v>
      </c>
      <c r="H369">
        <v>2007</v>
      </c>
      <c r="I369">
        <f t="shared" si="47"/>
        <v>1</v>
      </c>
      <c r="N369" s="14">
        <v>20001887.469999999</v>
      </c>
      <c r="O369" s="14">
        <v>18698339.079999998</v>
      </c>
      <c r="P369" s="4">
        <v>1.9276999999999999E-2</v>
      </c>
      <c r="Q369" s="14">
        <v>288193.86</v>
      </c>
      <c r="R369" s="14">
        <v>1303547.49</v>
      </c>
      <c r="S369" s="14"/>
      <c r="T369" s="14">
        <v>59211.41</v>
      </c>
      <c r="U369" s="14">
        <f t="shared" si="50"/>
        <v>1591741.35</v>
      </c>
      <c r="V369" s="14">
        <f t="shared" si="40"/>
        <v>0</v>
      </c>
      <c r="X369" s="85">
        <f t="shared" si="48"/>
        <v>0</v>
      </c>
      <c r="Y369" s="21">
        <f t="shared" si="46"/>
        <v>1.9678932296365574E-2</v>
      </c>
      <c r="Z369" t="s">
        <v>609</v>
      </c>
      <c r="AA369" s="55">
        <f t="shared" si="41"/>
        <v>347405.27</v>
      </c>
      <c r="AB369" s="55" t="str">
        <f t="shared" si="42"/>
        <v/>
      </c>
      <c r="AC369" s="55">
        <f t="shared" si="49"/>
        <v>17653664.577328768</v>
      </c>
    </row>
    <row r="370" spans="1:29">
      <c r="A370" t="s">
        <v>223</v>
      </c>
      <c r="B370" s="16" t="str">
        <f>INDEX(emprunts!C:C,MATCH($A370,emprunts!A:A,0))</f>
        <v>Crédit Agricole</v>
      </c>
      <c r="C370" s="18">
        <f>INDEX(emprunts!M:M,MATCH($A370,emprunts!$A:$A,0))</f>
        <v>39182</v>
      </c>
      <c r="D370" s="18">
        <f>IF(INDEX(emprunts!O:O,MATCH($A370,emprunts!$A:$A,0))="",INDEX(emprunts!N:N,MATCH($A370,emprunts!$A:$A,0)),MIN(INDEX(emprunts!N:N,MATCH($A370,emprunts!$A:$A,0)),INDEX(emprunts!O:O,MATCH($A370,emprunts!$A:$A,0))))</f>
        <v>46813</v>
      </c>
      <c r="E370" s="52">
        <f>INDEX(emprunts!I:I,MATCH($A370,emprunts!$A:$A,0))</f>
        <v>20</v>
      </c>
      <c r="F370" s="18" t="str">
        <f>INDEX(emprunts!P:P,MATCH($A370,emprunts!$A:$A,0))</f>
        <v>Pente</v>
      </c>
      <c r="G370" s="126" t="str">
        <f>IF(LEFT(A370,3)="vx_","vx",INDEX(Categorie,MATCH($A370,emprunts!$A$2:$A$149,0)))</f>
        <v>Struct</v>
      </c>
      <c r="H370">
        <v>2007</v>
      </c>
      <c r="I370">
        <f t="shared" si="47"/>
        <v>1</v>
      </c>
      <c r="N370" s="14">
        <v>5000000</v>
      </c>
      <c r="O370" s="14">
        <v>5000000</v>
      </c>
      <c r="P370" s="4">
        <v>3.9933999999999997E-2</v>
      </c>
      <c r="Q370" s="14">
        <v>133132.65</v>
      </c>
      <c r="R370" s="14">
        <v>0</v>
      </c>
      <c r="S370" s="14"/>
      <c r="T370" s="14">
        <v>16179.84</v>
      </c>
      <c r="U370" s="14">
        <f t="shared" si="50"/>
        <v>133132.65</v>
      </c>
      <c r="V370" s="14">
        <f t="shared" si="40"/>
        <v>0</v>
      </c>
      <c r="X370" s="85">
        <f t="shared" si="48"/>
        <v>0</v>
      </c>
      <c r="Y370" s="21">
        <f t="shared" si="46"/>
        <v>4.1131365169811314E-2</v>
      </c>
      <c r="AA370" s="55">
        <f t="shared" si="41"/>
        <v>149312.49</v>
      </c>
      <c r="AB370" s="55" t="str">
        <f t="shared" si="42"/>
        <v/>
      </c>
      <c r="AC370" s="55">
        <f t="shared" si="49"/>
        <v>3630136.98630137</v>
      </c>
    </row>
    <row r="371" spans="1:29">
      <c r="A371" t="s">
        <v>225</v>
      </c>
      <c r="B371" s="16" t="str">
        <f>INDEX(emprunts!C:C,MATCH($A371,emprunts!A:A,0))</f>
        <v>Dexia CL</v>
      </c>
      <c r="C371" s="18">
        <f>INDEX(emprunts!M:M,MATCH($A371,emprunts!$A:$A,0))</f>
        <v>39539</v>
      </c>
      <c r="D371" s="18">
        <f>IF(INDEX(emprunts!O:O,MATCH($A371,emprunts!$A:$A,0))="",INDEX(emprunts!N:N,MATCH($A371,emprunts!$A:$A,0)),MIN(INDEX(emprunts!N:N,MATCH($A371,emprunts!$A:$A,0)),INDEX(emprunts!O:O,MATCH($A371,emprunts!$A:$A,0))))</f>
        <v>40118</v>
      </c>
      <c r="E371" s="52">
        <f>INDEX(emprunts!I:I,MATCH($A371,emprunts!$A:$A,0))</f>
        <v>25.67</v>
      </c>
      <c r="F371" s="18" t="str">
        <f>INDEX(emprunts!P:P,MATCH($A371,emprunts!$A:$A,0))</f>
        <v>Pente</v>
      </c>
      <c r="G371" s="126" t="str">
        <f>IF(LEFT(A371,3)="vx_","vx",INDEX(Categorie,MATCH($A371,emprunts!$A$2:$A$149,0)))</f>
        <v>Struct</v>
      </c>
      <c r="H371">
        <v>2007</v>
      </c>
      <c r="I371">
        <f t="shared" si="47"/>
        <v>0</v>
      </c>
      <c r="O371" s="14"/>
      <c r="P371" s="4">
        <v>3.9883000000000002E-2</v>
      </c>
      <c r="Q371" s="14">
        <v>0</v>
      </c>
      <c r="R371" s="14">
        <v>0</v>
      </c>
      <c r="S371" s="14"/>
      <c r="T371" s="14">
        <v>0</v>
      </c>
      <c r="U371" s="14">
        <f t="shared" si="50"/>
        <v>0</v>
      </c>
      <c r="V371" s="14">
        <f t="shared" si="40"/>
        <v>0</v>
      </c>
      <c r="X371" s="85">
        <f t="shared" si="48"/>
        <v>0</v>
      </c>
      <c r="Y371" s="21" t="str">
        <f t="shared" si="46"/>
        <v/>
      </c>
      <c r="Z371" t="s">
        <v>662</v>
      </c>
      <c r="AA371" s="55">
        <f t="shared" si="41"/>
        <v>0</v>
      </c>
      <c r="AB371" s="55">
        <f t="shared" si="42"/>
        <v>0</v>
      </c>
      <c r="AC371" s="55">
        <f t="shared" si="49"/>
        <v>0</v>
      </c>
    </row>
    <row r="372" spans="1:29">
      <c r="A372" t="s">
        <v>227</v>
      </c>
      <c r="B372" s="16" t="str">
        <f>INDEX(emprunts!C:C,MATCH($A372,emprunts!A:A,0))</f>
        <v>Dexia CL</v>
      </c>
      <c r="C372" s="18">
        <f>INDEX(emprunts!M:M,MATCH($A372,emprunts!$A:$A,0))</f>
        <v>39203</v>
      </c>
      <c r="D372" s="18">
        <f>IF(INDEX(emprunts!O:O,MATCH($A372,emprunts!$A:$A,0))="",INDEX(emprunts!N:N,MATCH($A372,emprunts!$A:$A,0)),MIN(INDEX(emprunts!N:N,MATCH($A372,emprunts!$A:$A,0)),INDEX(emprunts!O:O,MATCH($A372,emprunts!$A:$A,0))))</f>
        <v>40176</v>
      </c>
      <c r="E372" s="52">
        <f>INDEX(emprunts!I:I,MATCH($A372,emprunts!$A:$A,0))</f>
        <v>17</v>
      </c>
      <c r="F372" s="18" t="str">
        <f>INDEX(emprunts!P:P,MATCH($A372,emprunts!$A:$A,0))</f>
        <v>Courbes</v>
      </c>
      <c r="G372" s="126" t="str">
        <f>IF(LEFT(A372,3)="vx_","vx",INDEX(Categorie,MATCH($A372,emprunts!$A$2:$A$149,0)))</f>
        <v>Struct</v>
      </c>
      <c r="H372">
        <v>2007</v>
      </c>
      <c r="I372">
        <f t="shared" si="47"/>
        <v>1</v>
      </c>
      <c r="N372" s="14">
        <v>16991098</v>
      </c>
      <c r="O372" s="14">
        <v>16991098</v>
      </c>
      <c r="P372" s="4">
        <v>2.6379E-2</v>
      </c>
      <c r="Q372" s="14">
        <v>0</v>
      </c>
      <c r="R372" s="14">
        <v>0</v>
      </c>
      <c r="S372" s="14"/>
      <c r="T372" s="14">
        <v>299420.90999999997</v>
      </c>
      <c r="U372" s="14">
        <f t="shared" si="50"/>
        <v>0</v>
      </c>
      <c r="V372" s="14">
        <f t="shared" si="40"/>
        <v>0</v>
      </c>
      <c r="X372" s="85">
        <f t="shared" si="48"/>
        <v>0</v>
      </c>
      <c r="Y372" s="21">
        <f t="shared" si="46"/>
        <v>2.6361111572833655E-2</v>
      </c>
      <c r="AA372" s="55">
        <f t="shared" si="41"/>
        <v>299420.90999999997</v>
      </c>
      <c r="AB372" s="55" t="str">
        <f t="shared" si="42"/>
        <v/>
      </c>
      <c r="AC372" s="55">
        <f t="shared" si="49"/>
        <v>11358432.635616438</v>
      </c>
    </row>
    <row r="373" spans="1:29">
      <c r="A373" t="s">
        <v>231</v>
      </c>
      <c r="B373" s="16" t="str">
        <f>INDEX(emprunts!C:C,MATCH($A373,emprunts!A:A,0))</f>
        <v>Dexia CL</v>
      </c>
      <c r="C373" s="18">
        <f>INDEX(emprunts!M:M,MATCH($A373,emprunts!$A:$A,0))</f>
        <v>39203</v>
      </c>
      <c r="D373" s="18">
        <f>IF(INDEX(emprunts!O:O,MATCH($A373,emprunts!$A:$A,0))="",INDEX(emprunts!N:N,MATCH($A373,emprunts!$A:$A,0)),MIN(INDEX(emprunts!N:N,MATCH($A373,emprunts!$A:$A,0)),INDEX(emprunts!O:O,MATCH($A373,emprunts!$A:$A,0))))</f>
        <v>40176</v>
      </c>
      <c r="E373" s="52">
        <f>INDEX(emprunts!I:I,MATCH($A373,emprunts!$A:$A,0))</f>
        <v>16.920000000000002</v>
      </c>
      <c r="F373" s="18" t="str">
        <f>INDEX(emprunts!P:P,MATCH($A373,emprunts!$A:$A,0))</f>
        <v>Écart d'inflation</v>
      </c>
      <c r="G373" s="126" t="str">
        <f>IF(LEFT(A373,3)="vx_","vx",INDEX(Categorie,MATCH($A373,emprunts!$A$2:$A$149,0)))</f>
        <v>Struct</v>
      </c>
      <c r="H373">
        <v>2007</v>
      </c>
      <c r="I373">
        <f t="shared" si="47"/>
        <v>1</v>
      </c>
      <c r="N373" s="14">
        <v>13957410.35</v>
      </c>
      <c r="O373" s="14">
        <v>13957410.35</v>
      </c>
      <c r="P373" s="4">
        <v>2.8407999999999999E-2</v>
      </c>
      <c r="Q373" s="14">
        <v>0</v>
      </c>
      <c r="R373" s="14">
        <v>0</v>
      </c>
      <c r="S373" s="14"/>
      <c r="T373" s="14">
        <v>273597.86</v>
      </c>
      <c r="U373" s="14">
        <f t="shared" si="50"/>
        <v>0</v>
      </c>
      <c r="V373" s="14">
        <f t="shared" si="40"/>
        <v>0</v>
      </c>
      <c r="X373" s="85">
        <f t="shared" si="48"/>
        <v>0</v>
      </c>
      <c r="Y373" s="21">
        <f t="shared" si="46"/>
        <v>2.9323167910950035E-2</v>
      </c>
      <c r="Z373" t="s">
        <v>610</v>
      </c>
      <c r="AA373" s="55">
        <f t="shared" si="41"/>
        <v>273597.86</v>
      </c>
      <c r="AB373" s="55" t="str">
        <f t="shared" si="42"/>
        <v/>
      </c>
      <c r="AC373" s="55">
        <f t="shared" si="49"/>
        <v>9330433.2202739734</v>
      </c>
    </row>
    <row r="374" spans="1:29">
      <c r="A374" t="s">
        <v>233</v>
      </c>
      <c r="B374" s="16" t="str">
        <f>INDEX(emprunts!C:C,MATCH($A374,emprunts!A:A,0))</f>
        <v>Société Générale</v>
      </c>
      <c r="C374" s="18">
        <f>INDEX(emprunts!M:M,MATCH($A374,emprunts!$A:$A,0))</f>
        <v>39226</v>
      </c>
      <c r="D374" s="18">
        <f>IF(INDEX(emprunts!O:O,MATCH($A374,emprunts!$A:$A,0))="",INDEX(emprunts!N:N,MATCH($A374,emprunts!$A:$A,0)),MIN(INDEX(emprunts!N:N,MATCH($A374,emprunts!$A:$A,0)),INDEX(emprunts!O:O,MATCH($A374,emprunts!$A:$A,0))))</f>
        <v>39904</v>
      </c>
      <c r="E374" s="52">
        <f>INDEX(emprunts!I:I,MATCH($A374,emprunts!$A:$A,0))</f>
        <v>19</v>
      </c>
      <c r="F374" s="18" t="str">
        <f>INDEX(emprunts!P:P,MATCH($A374,emprunts!$A:$A,0))</f>
        <v>Change</v>
      </c>
      <c r="G374" s="126" t="str">
        <f>IF(LEFT(A374,3)="vx_","vx",INDEX(Categorie,MATCH($A374,emprunts!$A$2:$A$149,0)))</f>
        <v>Struct</v>
      </c>
      <c r="H374">
        <v>2007</v>
      </c>
      <c r="I374">
        <f t="shared" si="47"/>
        <v>1</v>
      </c>
      <c r="O374" s="14">
        <v>4000000</v>
      </c>
      <c r="P374" s="4">
        <v>4.0085999999999997E-2</v>
      </c>
      <c r="Q374" s="14">
        <v>92249.25</v>
      </c>
      <c r="R374" s="14">
        <v>0</v>
      </c>
      <c r="S374" s="14"/>
      <c r="T374" s="14">
        <v>12993.87</v>
      </c>
      <c r="U374" s="14">
        <f t="shared" si="50"/>
        <v>92249.25</v>
      </c>
      <c r="V374" s="14">
        <f t="shared" si="40"/>
        <v>0</v>
      </c>
      <c r="X374" s="85">
        <f t="shared" si="48"/>
        <v>0</v>
      </c>
      <c r="Y374" s="21">
        <f t="shared" si="46"/>
        <v>4.3454455656108594E-2</v>
      </c>
      <c r="Z374" t="s">
        <v>695</v>
      </c>
      <c r="AA374" s="55">
        <f t="shared" si="41"/>
        <v>105243.12</v>
      </c>
      <c r="AB374" s="55" t="str">
        <f t="shared" si="42"/>
        <v/>
      </c>
      <c r="AC374" s="55">
        <f t="shared" si="49"/>
        <v>2421917.8082191781</v>
      </c>
    </row>
    <row r="375" spans="1:29">
      <c r="A375" t="s">
        <v>235</v>
      </c>
      <c r="B375" s="16" t="str">
        <f>INDEX(emprunts!C:C,MATCH($A375,emprunts!A:A,0))</f>
        <v>Caisse d'Épargne</v>
      </c>
      <c r="C375" s="18">
        <f>INDEX(emprunts!M:M,MATCH($A375,emprunts!$A:$A,0))</f>
        <v>39288</v>
      </c>
      <c r="D375" s="18">
        <f>IF(INDEX(emprunts!O:O,MATCH($A375,emprunts!$A:$A,0))="",INDEX(emprunts!N:N,MATCH($A375,emprunts!$A:$A,0)),MIN(INDEX(emprunts!N:N,MATCH($A375,emprunts!$A:$A,0)),INDEX(emprunts!O:O,MATCH($A375,emprunts!$A:$A,0))))</f>
        <v>40964</v>
      </c>
      <c r="E375" s="52">
        <f>INDEX(emprunts!I:I,MATCH($A375,emprunts!$A:$A,0))</f>
        <v>18.579999999999998</v>
      </c>
      <c r="F375" s="18" t="str">
        <f>INDEX(emprunts!P:P,MATCH($A375,emprunts!$A:$A,0))</f>
        <v>Courbes</v>
      </c>
      <c r="G375" s="126" t="str">
        <f>IF(LEFT(A375,3)="vx_","vx",INDEX(Categorie,MATCH($A375,emprunts!$A$2:$A$149,0)))</f>
        <v>Struct</v>
      </c>
      <c r="H375">
        <v>2007</v>
      </c>
      <c r="I375">
        <f t="shared" si="47"/>
        <v>1</v>
      </c>
      <c r="N375" s="14">
        <v>15000869</v>
      </c>
      <c r="O375" s="14">
        <v>15000869</v>
      </c>
      <c r="P375" s="4">
        <v>2.3220999999999999E-2</v>
      </c>
      <c r="Q375" s="14">
        <v>0</v>
      </c>
      <c r="R375" s="14">
        <v>0</v>
      </c>
      <c r="S375" s="14"/>
      <c r="T375" s="14">
        <v>0</v>
      </c>
      <c r="U375" s="14">
        <f t="shared" si="50"/>
        <v>0</v>
      </c>
      <c r="V375" s="14">
        <f t="shared" si="40"/>
        <v>0</v>
      </c>
      <c r="X375" s="85">
        <f t="shared" si="48"/>
        <v>0</v>
      </c>
      <c r="Y375" s="21" t="str">
        <f t="shared" si="46"/>
        <v/>
      </c>
      <c r="AA375" s="55">
        <f t="shared" si="41"/>
        <v>0</v>
      </c>
      <c r="AB375" s="55" t="str">
        <f t="shared" si="42"/>
        <v/>
      </c>
      <c r="AC375" s="55">
        <f t="shared" si="49"/>
        <v>6534625.1260273969</v>
      </c>
    </row>
    <row r="376" spans="1:29">
      <c r="A376" t="s">
        <v>239</v>
      </c>
      <c r="B376" s="16" t="str">
        <f>INDEX(emprunts!C:C,MATCH($A376,emprunts!A:A,0))</f>
        <v>Dexia CL</v>
      </c>
      <c r="C376" s="18">
        <f>INDEX(emprunts!M:M,MATCH($A376,emprunts!$A:$A,0))</f>
        <v>39324</v>
      </c>
      <c r="D376" s="18">
        <f>IF(INDEX(emprunts!O:O,MATCH($A376,emprunts!$A:$A,0))="",INDEX(emprunts!N:N,MATCH($A376,emprunts!$A:$A,0)),MIN(INDEX(emprunts!N:N,MATCH($A376,emprunts!$A:$A,0)),INDEX(emprunts!O:O,MATCH($A376,emprunts!$A:$A,0))))</f>
        <v>40634</v>
      </c>
      <c r="E376" s="52">
        <f>INDEX(emprunts!I:I,MATCH($A376,emprunts!$A:$A,0))</f>
        <v>25</v>
      </c>
      <c r="F376" s="18" t="str">
        <f>INDEX(emprunts!P:P,MATCH($A376,emprunts!$A:$A,0))</f>
        <v>Courbes</v>
      </c>
      <c r="G376" s="126" t="str">
        <f>IF(LEFT(A376,3)="vx_","vx",INDEX(Categorie,MATCH($A376,emprunts!$A$2:$A$149,0)))</f>
        <v>Struct</v>
      </c>
      <c r="H376">
        <v>2007</v>
      </c>
      <c r="I376">
        <f t="shared" si="47"/>
        <v>1</v>
      </c>
      <c r="N376" s="14">
        <v>5287418</v>
      </c>
      <c r="O376" s="14">
        <v>5287418</v>
      </c>
      <c r="Q376" s="14">
        <v>3395.5</v>
      </c>
      <c r="R376" s="14">
        <v>0</v>
      </c>
      <c r="S376" s="14"/>
      <c r="T376" s="14">
        <v>0</v>
      </c>
      <c r="U376" s="14">
        <f>SUM(Q376:T376)</f>
        <v>3395.5</v>
      </c>
      <c r="V376" s="14">
        <f t="shared" ref="V376:V437" si="51">IF(U376="","",U376-SUM(Q376:S376))</f>
        <v>0</v>
      </c>
      <c r="X376" s="85">
        <f t="shared" si="48"/>
        <v>0</v>
      </c>
      <c r="Y376" s="21">
        <f t="shared" si="46"/>
        <v>1.9056706384424985E-3</v>
      </c>
      <c r="Z376" t="s">
        <v>636</v>
      </c>
      <c r="AA376" s="55">
        <f t="shared" si="41"/>
        <v>3395.5</v>
      </c>
      <c r="AB376" s="55" t="str">
        <f t="shared" si="42"/>
        <v/>
      </c>
      <c r="AC376" s="55">
        <f t="shared" si="49"/>
        <v>1781787.4356164383</v>
      </c>
    </row>
    <row r="377" spans="1:29">
      <c r="A377" t="s">
        <v>504</v>
      </c>
      <c r="B377" s="16" t="str">
        <f>INDEX(emprunts!C:C,MATCH($A377,emprunts!A:A,0))</f>
        <v>Société Générale</v>
      </c>
      <c r="C377" s="18">
        <f>INDEX(emprunts!M:M,MATCH($A377,emprunts!$A:$A,0))</f>
        <v>39356</v>
      </c>
      <c r="D377" s="18">
        <f>IF(INDEX(emprunts!O:O,MATCH($A377,emprunts!$A:$A,0))="",INDEX(emprunts!N:N,MATCH($A377,emprunts!$A:$A,0)),MIN(INDEX(emprunts!N:N,MATCH($A377,emprunts!$A:$A,0)),INDEX(emprunts!O:O,MATCH($A377,emprunts!$A:$A,0))))</f>
        <v>40422</v>
      </c>
      <c r="E377" s="52">
        <f>INDEX(emprunts!I:I,MATCH($A377,emprunts!$A:$A,0))</f>
        <v>20</v>
      </c>
      <c r="F377" s="18" t="str">
        <f>INDEX(emprunts!P:P,MATCH($A377,emprunts!$A:$A,0))</f>
        <v>Courbes</v>
      </c>
      <c r="G377" s="126" t="str">
        <f>IF(LEFT(A377,3)="vx_","vx",INDEX(Categorie,MATCH($A377,emprunts!$A$2:$A$149,0)))</f>
        <v>Struct</v>
      </c>
      <c r="H377">
        <v>2007</v>
      </c>
      <c r="I377">
        <f t="shared" si="47"/>
        <v>1</v>
      </c>
      <c r="N377" s="14">
        <v>2000000</v>
      </c>
      <c r="O377" s="14">
        <v>2000000</v>
      </c>
      <c r="Q377" s="14">
        <v>0</v>
      </c>
      <c r="R377" s="14">
        <v>0</v>
      </c>
      <c r="S377" s="14"/>
      <c r="T377" s="14">
        <v>0</v>
      </c>
      <c r="U377" s="14">
        <f>SUM(Q377:T377)</f>
        <v>0</v>
      </c>
      <c r="V377" s="14">
        <f t="shared" si="51"/>
        <v>0</v>
      </c>
      <c r="X377" s="85">
        <f t="shared" si="48"/>
        <v>0</v>
      </c>
      <c r="Y377" s="21" t="str">
        <f t="shared" si="46"/>
        <v/>
      </c>
      <c r="AA377" s="55">
        <f t="shared" si="41"/>
        <v>0</v>
      </c>
      <c r="AB377" s="55" t="str">
        <f t="shared" si="42"/>
        <v/>
      </c>
      <c r="AC377" s="55">
        <f t="shared" si="49"/>
        <v>498630.1369863014</v>
      </c>
    </row>
    <row r="378" spans="1:29">
      <c r="A378" t="s">
        <v>246</v>
      </c>
      <c r="B378" s="16" t="str">
        <f>INDEX(emprunts!C:C,MATCH($A378,emprunts!A:A,0))</f>
        <v>Dexia CL</v>
      </c>
      <c r="C378" s="18">
        <f>INDEX(emprunts!M:M,MATCH($A378,emprunts!$A:$A,0))</f>
        <v>39350</v>
      </c>
      <c r="D378" s="18">
        <f>IF(INDEX(emprunts!O:O,MATCH($A378,emprunts!$A:$A,0))="",INDEX(emprunts!N:N,MATCH($A378,emprunts!$A:$A,0)),MIN(INDEX(emprunts!N:N,MATCH($A378,emprunts!$A:$A,0)),INDEX(emprunts!O:O,MATCH($A378,emprunts!$A:$A,0))))</f>
        <v>40179</v>
      </c>
      <c r="E378" s="52">
        <f>INDEX(emprunts!I:I,MATCH($A378,emprunts!$A:$A,0))</f>
        <v>25.42</v>
      </c>
      <c r="F378" s="18" t="str">
        <f>INDEX(emprunts!P:P,MATCH($A378,emprunts!$A:$A,0))</f>
        <v>Barrière avec multiplicateur</v>
      </c>
      <c r="G378" s="126" t="str">
        <f>IF(LEFT(A378,3)="vx_","vx",INDEX(Categorie,MATCH($A378,emprunts!$A$2:$A$149,0)))</f>
        <v>Struct</v>
      </c>
      <c r="H378">
        <v>2007</v>
      </c>
      <c r="I378">
        <f t="shared" si="47"/>
        <v>1</v>
      </c>
      <c r="N378" s="14">
        <v>8721943</v>
      </c>
      <c r="O378" s="14">
        <v>8721943</v>
      </c>
      <c r="P378" s="4">
        <v>2.8407999999999999E-2</v>
      </c>
      <c r="Q378" s="14">
        <v>0</v>
      </c>
      <c r="R378" s="14">
        <v>0</v>
      </c>
      <c r="S378" s="14"/>
      <c r="T378" s="14">
        <v>0</v>
      </c>
      <c r="U378" s="14">
        <f t="shared" si="50"/>
        <v>0</v>
      </c>
      <c r="V378" s="14">
        <f t="shared" si="51"/>
        <v>0</v>
      </c>
      <c r="X378" s="85">
        <f t="shared" si="48"/>
        <v>0</v>
      </c>
      <c r="Y378" s="21" t="str">
        <f t="shared" si="46"/>
        <v/>
      </c>
      <c r="AA378" s="55">
        <f t="shared" si="41"/>
        <v>0</v>
      </c>
      <c r="AB378" s="55" t="str">
        <f t="shared" si="42"/>
        <v/>
      </c>
      <c r="AC378" s="55">
        <f t="shared" si="49"/>
        <v>2317886.2219178085</v>
      </c>
    </row>
    <row r="379" spans="1:29">
      <c r="A379" t="s">
        <v>248</v>
      </c>
      <c r="B379" s="16" t="str">
        <f>INDEX(emprunts!C:C,MATCH($A379,emprunts!A:A,0))</f>
        <v>Dexia CL</v>
      </c>
      <c r="C379" s="18">
        <f>INDEX(emprunts!M:M,MATCH($A379,emprunts!$A:$A,0))</f>
        <v>39539</v>
      </c>
      <c r="D379" s="18">
        <f>IF(INDEX(emprunts!O:O,MATCH($A379,emprunts!$A:$A,0))="",INDEX(emprunts!N:N,MATCH($A379,emprunts!$A:$A,0)),MIN(INDEX(emprunts!N:N,MATCH($A379,emprunts!$A:$A,0)),INDEX(emprunts!O:O,MATCH($A379,emprunts!$A:$A,0))))</f>
        <v>39783</v>
      </c>
      <c r="E379" s="52">
        <f>INDEX(emprunts!I:I,MATCH($A379,emprunts!$A:$A,0))</f>
        <v>26.42</v>
      </c>
      <c r="F379" s="18" t="str">
        <f>INDEX(emprunts!P:P,MATCH($A379,emprunts!$A:$A,0))</f>
        <v>Change</v>
      </c>
      <c r="G379" s="126" t="str">
        <f>IF(LEFT(A379,3)="vx_","vx",INDEX(Categorie,MATCH($A379,emprunts!$A$2:$A$149,0)))</f>
        <v>Struct</v>
      </c>
      <c r="H379">
        <v>2007</v>
      </c>
      <c r="I379">
        <f t="shared" si="47"/>
        <v>0</v>
      </c>
      <c r="N379" s="14">
        <v>0</v>
      </c>
      <c r="O379" s="14">
        <v>0</v>
      </c>
      <c r="Q379" s="14">
        <v>0</v>
      </c>
      <c r="R379" s="14">
        <v>0</v>
      </c>
      <c r="S379" s="14"/>
      <c r="T379" s="14">
        <v>0</v>
      </c>
      <c r="U379" s="14">
        <f>SUM(Q379:T379)</f>
        <v>0</v>
      </c>
      <c r="V379" s="14">
        <f t="shared" si="51"/>
        <v>0</v>
      </c>
      <c r="X379" s="85">
        <f t="shared" si="48"/>
        <v>0</v>
      </c>
      <c r="Y379" s="21" t="str">
        <f t="shared" si="46"/>
        <v/>
      </c>
      <c r="AA379" s="55">
        <f t="shared" ref="AA379:AA442" si="52">T379+Q379+S379-SUMPRODUCT(($A$123:$A$1367=$A379)*($H$123:$H$1367=$H379-1),$T$123:$T$1367)</f>
        <v>0</v>
      </c>
      <c r="AB379" s="55">
        <f t="shared" ref="AB379:AB442" si="53">IF(YEAR(C379)=H379,"",O379+R379+X379-W379-SUMPRODUCT(($A$123:$A$1367=$A379)*($H$123:$H$1367=$H379-1),$O$123:$O$1367))</f>
        <v>0</v>
      </c>
      <c r="AC379" s="55">
        <f t="shared" si="49"/>
        <v>0</v>
      </c>
    </row>
    <row r="380" spans="1:29">
      <c r="A380" t="s">
        <v>250</v>
      </c>
      <c r="B380" s="16" t="str">
        <f>INDEX(emprunts!C:C,MATCH($A380,emprunts!A:A,0))</f>
        <v>Caisse d'Épargne</v>
      </c>
      <c r="C380" s="18">
        <f>INDEX(emprunts!M:M,MATCH($A380,emprunts!$A:$A,0))</f>
        <v>39447</v>
      </c>
      <c r="D380" s="18">
        <f>IF(INDEX(emprunts!O:O,MATCH($A380,emprunts!$A:$A,0))="",INDEX(emprunts!N:N,MATCH($A380,emprunts!$A:$A,0)),MIN(INDEX(emprunts!N:N,MATCH($A380,emprunts!$A:$A,0)),INDEX(emprunts!O:O,MATCH($A380,emprunts!$A:$A,0))))</f>
        <v>41330</v>
      </c>
      <c r="E380" s="52">
        <f>INDEX(emprunts!I:I,MATCH($A380,emprunts!$A:$A,0))</f>
        <v>20</v>
      </c>
      <c r="F380" s="18" t="str">
        <f>INDEX(emprunts!P:P,MATCH($A380,emprunts!$A:$A,0))</f>
        <v>Courbes</v>
      </c>
      <c r="G380" s="126" t="str">
        <f>IF(LEFT(A380,3)="vx_","vx",INDEX(Categorie,MATCH($A380,emprunts!$A$2:$A$149,0)))</f>
        <v>Struct</v>
      </c>
      <c r="H380">
        <v>2007</v>
      </c>
      <c r="I380">
        <f t="shared" si="47"/>
        <v>0</v>
      </c>
      <c r="N380" s="14">
        <v>5000000</v>
      </c>
      <c r="O380" s="14">
        <v>5000000</v>
      </c>
      <c r="P380" s="4">
        <v>2.3220999999999999E-2</v>
      </c>
      <c r="Q380" s="14">
        <v>0</v>
      </c>
      <c r="R380" s="14">
        <v>0</v>
      </c>
      <c r="S380" s="14"/>
      <c r="T380" s="14">
        <v>0</v>
      </c>
      <c r="U380" s="14">
        <f t="shared" si="50"/>
        <v>0</v>
      </c>
      <c r="V380" s="14">
        <f t="shared" si="51"/>
        <v>0</v>
      </c>
      <c r="X380" s="85">
        <f t="shared" si="48"/>
        <v>0</v>
      </c>
      <c r="Y380" s="21" t="str">
        <f t="shared" si="46"/>
        <v/>
      </c>
      <c r="Z380" t="s">
        <v>694</v>
      </c>
      <c r="AA380" s="55">
        <f t="shared" si="52"/>
        <v>0</v>
      </c>
      <c r="AB380" s="55" t="str">
        <f t="shared" si="53"/>
        <v/>
      </c>
      <c r="AC380" s="55">
        <f t="shared" si="49"/>
        <v>0</v>
      </c>
    </row>
    <row r="381" spans="1:29">
      <c r="A381" t="s">
        <v>253</v>
      </c>
      <c r="B381" s="16" t="str">
        <f>INDEX(emprunts!C:C,MATCH($A381,emprunts!A:A,0))</f>
        <v>Dexia CL</v>
      </c>
      <c r="C381" s="18">
        <f>INDEX(emprunts!M:M,MATCH($A381,emprunts!$A:$A,0))</f>
        <v>40176</v>
      </c>
      <c r="D381" s="18">
        <f>IF(INDEX(emprunts!O:O,MATCH($A381,emprunts!$A:$A,0))="",INDEX(emprunts!N:N,MATCH($A381,emprunts!$A:$A,0)),MIN(INDEX(emprunts!N:N,MATCH($A381,emprunts!$A:$A,0)),INDEX(emprunts!O:O,MATCH($A381,emprunts!$A:$A,0))))</f>
        <v>40299</v>
      </c>
      <c r="E381" s="52">
        <f>INDEX(emprunts!I:I,MATCH($A381,emprunts!$A:$A,0))</f>
        <v>20.83</v>
      </c>
      <c r="F381" s="18" t="str">
        <f>INDEX(emprunts!P:P,MATCH($A381,emprunts!$A:$A,0))</f>
        <v>Courbes</v>
      </c>
      <c r="G381" s="126" t="str">
        <f>IF(LEFT(A381,3)="vx_","vx",INDEX(Categorie,MATCH($A381,emprunts!$A$2:$A$149,0)))</f>
        <v>Struct</v>
      </c>
      <c r="H381">
        <v>2007</v>
      </c>
      <c r="I381">
        <f t="shared" si="47"/>
        <v>0</v>
      </c>
      <c r="N381"/>
      <c r="O381" s="58"/>
      <c r="Q381" s="14"/>
      <c r="R381" s="14"/>
      <c r="S381" s="14"/>
      <c r="T381" s="14"/>
      <c r="U381" s="14">
        <f t="shared" si="50"/>
        <v>0</v>
      </c>
      <c r="V381" s="14">
        <f t="shared" si="51"/>
        <v>0</v>
      </c>
      <c r="X381" s="85">
        <f t="shared" si="48"/>
        <v>0</v>
      </c>
      <c r="Y381" s="21" t="str">
        <f t="shared" si="46"/>
        <v/>
      </c>
      <c r="AA381" s="55">
        <f t="shared" si="52"/>
        <v>0</v>
      </c>
      <c r="AB381" s="55">
        <f t="shared" si="53"/>
        <v>0</v>
      </c>
      <c r="AC381" s="55">
        <f t="shared" si="49"/>
        <v>0</v>
      </c>
    </row>
    <row r="382" spans="1:29">
      <c r="A382" t="s">
        <v>255</v>
      </c>
      <c r="B382" s="16" t="str">
        <f>INDEX(emprunts!C:C,MATCH($A382,emprunts!A:A,0))</f>
        <v>Dexia CL</v>
      </c>
      <c r="C382" s="18">
        <f>INDEX(emprunts!M:M,MATCH($A382,emprunts!$A:$A,0))</f>
        <v>39668</v>
      </c>
      <c r="D382" s="18">
        <f>IF(INDEX(emprunts!O:O,MATCH($A382,emprunts!$A:$A,0))="",INDEX(emprunts!N:N,MATCH($A382,emprunts!$A:$A,0)),MIN(INDEX(emprunts!N:N,MATCH($A382,emprunts!$A:$A,0)),INDEX(emprunts!O:O,MATCH($A382,emprunts!$A:$A,0))))</f>
        <v>40848</v>
      </c>
      <c r="E382" s="52">
        <f>INDEX(emprunts!I:I,MATCH($A382,emprunts!$A:$A,0))</f>
        <v>25.33</v>
      </c>
      <c r="F382" s="18" t="str">
        <f>INDEX(emprunts!P:P,MATCH($A382,emprunts!$A:$A,0))</f>
        <v>Change</v>
      </c>
      <c r="G382" s="126" t="str">
        <f>IF(LEFT(A382,3)="vx_","vx",INDEX(Categorie,MATCH($A382,emprunts!$A$2:$A$149,0)))</f>
        <v>Struct</v>
      </c>
      <c r="H382">
        <v>2007</v>
      </c>
      <c r="I382">
        <f t="shared" si="47"/>
        <v>0</v>
      </c>
      <c r="N382"/>
      <c r="O382" s="58"/>
      <c r="Q382" s="14"/>
      <c r="R382" s="14"/>
      <c r="S382" s="14"/>
      <c r="T382" s="14"/>
      <c r="U382" s="14">
        <f t="shared" si="50"/>
        <v>0</v>
      </c>
      <c r="V382" s="14">
        <f t="shared" si="51"/>
        <v>0</v>
      </c>
      <c r="X382" s="85">
        <f t="shared" si="48"/>
        <v>0</v>
      </c>
      <c r="Y382" s="21" t="str">
        <f t="shared" si="46"/>
        <v/>
      </c>
      <c r="AA382" s="55">
        <f t="shared" si="52"/>
        <v>0</v>
      </c>
      <c r="AB382" s="55">
        <f t="shared" si="53"/>
        <v>0</v>
      </c>
      <c r="AC382" s="55">
        <f t="shared" si="49"/>
        <v>0</v>
      </c>
    </row>
    <row r="383" spans="1:29">
      <c r="A383" t="s">
        <v>256</v>
      </c>
      <c r="B383" s="16" t="str">
        <f>INDEX(emprunts!C:C,MATCH($A383,emprunts!A:A,0))</f>
        <v>Dexia CL</v>
      </c>
      <c r="C383" s="18">
        <f>INDEX(emprunts!M:M,MATCH($A383,emprunts!$A:$A,0))</f>
        <v>39668</v>
      </c>
      <c r="D383" s="18">
        <f>IF(INDEX(emprunts!O:O,MATCH($A383,emprunts!$A:$A,0))="",INDEX(emprunts!N:N,MATCH($A383,emprunts!$A:$A,0)),MIN(INDEX(emprunts!N:N,MATCH($A383,emprunts!$A:$A,0)),INDEX(emprunts!O:O,MATCH($A383,emprunts!$A:$A,0))))</f>
        <v>41214</v>
      </c>
      <c r="E383" s="52">
        <f>INDEX(emprunts!I:I,MATCH($A383,emprunts!$A:$A,0))</f>
        <v>25.33</v>
      </c>
      <c r="F383" s="18" t="str">
        <f>INDEX(emprunts!P:P,MATCH($A383,emprunts!$A:$A,0))</f>
        <v>Change</v>
      </c>
      <c r="G383" s="126" t="str">
        <f>IF(LEFT(A383,3)="vx_","vx",INDEX(Categorie,MATCH($A383,emprunts!$A$2:$A$149,0)))</f>
        <v>Struct</v>
      </c>
      <c r="H383">
        <v>2007</v>
      </c>
      <c r="I383">
        <f t="shared" si="47"/>
        <v>0</v>
      </c>
      <c r="N383"/>
      <c r="O383" s="58"/>
      <c r="Q383" s="14"/>
      <c r="R383" s="14"/>
      <c r="S383" s="14"/>
      <c r="T383" s="14"/>
      <c r="U383" s="14">
        <f t="shared" si="50"/>
        <v>0</v>
      </c>
      <c r="V383" s="14">
        <f t="shared" si="51"/>
        <v>0</v>
      </c>
      <c r="X383" s="85">
        <f t="shared" si="48"/>
        <v>0</v>
      </c>
      <c r="Y383" s="21" t="str">
        <f t="shared" si="46"/>
        <v/>
      </c>
      <c r="AA383" s="55">
        <f t="shared" si="52"/>
        <v>0</v>
      </c>
      <c r="AB383" s="55">
        <f t="shared" si="53"/>
        <v>0</v>
      </c>
      <c r="AC383" s="55">
        <f t="shared" si="49"/>
        <v>0</v>
      </c>
    </row>
    <row r="384" spans="1:29">
      <c r="A384" t="s">
        <v>257</v>
      </c>
      <c r="B384" s="16" t="str">
        <f>INDEX(emprunts!C:C,MATCH($A384,emprunts!A:A,0))</f>
        <v>Dexia CL</v>
      </c>
      <c r="C384" s="18">
        <f>INDEX(emprunts!M:M,MATCH($A384,emprunts!$A:$A,0))</f>
        <v>41214</v>
      </c>
      <c r="D384" s="18">
        <f>IF(INDEX(emprunts!O:O,MATCH($A384,emprunts!$A:$A,0))="",INDEX(emprunts!N:N,MATCH($A384,emprunts!$A:$A,0)),MIN(INDEX(emprunts!N:N,MATCH($A384,emprunts!$A:$A,0)),INDEX(emprunts!O:O,MATCH($A384,emprunts!$A:$A,0))))</f>
        <v>43040</v>
      </c>
      <c r="E384" s="52">
        <f>INDEX(emprunts!I:I,MATCH($A384,emprunts!$A:$A,0))</f>
        <v>25</v>
      </c>
      <c r="F384" s="18" t="str">
        <f>INDEX(emprunts!P:P,MATCH($A384,emprunts!$A:$A,0))</f>
        <v>Change</v>
      </c>
      <c r="G384" s="126" t="str">
        <f>IF(LEFT(A384,3)="vx_","vx",INDEX(Categorie,MATCH($A384,emprunts!$A$2:$A$149,0)))</f>
        <v>Struct</v>
      </c>
      <c r="H384">
        <v>2007</v>
      </c>
      <c r="I384">
        <f t="shared" si="47"/>
        <v>0</v>
      </c>
      <c r="N384"/>
      <c r="O384" s="58"/>
      <c r="Q384" s="14"/>
      <c r="R384" s="14"/>
      <c r="S384" s="14"/>
      <c r="T384" s="14"/>
      <c r="U384" s="14">
        <f t="shared" si="50"/>
        <v>0</v>
      </c>
      <c r="V384" s="14">
        <f t="shared" si="51"/>
        <v>0</v>
      </c>
      <c r="X384" s="85">
        <f t="shared" si="48"/>
        <v>0</v>
      </c>
      <c r="Y384" s="21" t="str">
        <f t="shared" si="46"/>
        <v/>
      </c>
      <c r="AA384" s="55">
        <f t="shared" si="52"/>
        <v>0</v>
      </c>
      <c r="AB384" s="55">
        <f t="shared" si="53"/>
        <v>0</v>
      </c>
      <c r="AC384" s="55">
        <f t="shared" si="49"/>
        <v>0</v>
      </c>
    </row>
    <row r="385" spans="1:29">
      <c r="A385" t="s">
        <v>261</v>
      </c>
      <c r="B385" s="16" t="str">
        <f>INDEX(emprunts!C:C,MATCH($A385,emprunts!A:A,0))</f>
        <v>Dexia CL</v>
      </c>
      <c r="C385" s="18">
        <f>INDEX(emprunts!M:M,MATCH($A385,emprunts!$A:$A,0))</f>
        <v>39783</v>
      </c>
      <c r="D385" s="18">
        <f>IF(INDEX(emprunts!O:O,MATCH($A385,emprunts!$A:$A,0))="",INDEX(emprunts!N:N,MATCH($A385,emprunts!$A:$A,0)),MIN(INDEX(emprunts!N:N,MATCH($A385,emprunts!$A:$A,0)),INDEX(emprunts!O:O,MATCH($A385,emprunts!$A:$A,0))))</f>
        <v>40513</v>
      </c>
      <c r="E385" s="52">
        <f>INDEX(emprunts!I:I,MATCH($A385,emprunts!$A:$A,0))</f>
        <v>17</v>
      </c>
      <c r="F385" s="18" t="str">
        <f>INDEX(emprunts!P:P,MATCH($A385,emprunts!$A:$A,0))</f>
        <v>Change</v>
      </c>
      <c r="G385" s="126" t="str">
        <f>IF(LEFT(A385,3)="vx_","vx",INDEX(Categorie,MATCH($A385,emprunts!$A$2:$A$149,0)))</f>
        <v>Struct</v>
      </c>
      <c r="H385">
        <v>2007</v>
      </c>
      <c r="I385">
        <f t="shared" si="47"/>
        <v>0</v>
      </c>
      <c r="N385"/>
      <c r="O385" s="58"/>
      <c r="Q385" s="14"/>
      <c r="R385" s="14"/>
      <c r="S385" s="14"/>
      <c r="T385" s="14"/>
      <c r="U385" s="14">
        <f t="shared" si="50"/>
        <v>0</v>
      </c>
      <c r="V385" s="14">
        <f t="shared" si="51"/>
        <v>0</v>
      </c>
      <c r="X385" s="85">
        <f t="shared" si="48"/>
        <v>0</v>
      </c>
      <c r="Y385" s="21" t="str">
        <f t="shared" si="46"/>
        <v/>
      </c>
      <c r="AA385" s="55">
        <f t="shared" si="52"/>
        <v>0</v>
      </c>
      <c r="AB385" s="55">
        <f t="shared" si="53"/>
        <v>0</v>
      </c>
      <c r="AC385" s="55">
        <f t="shared" si="49"/>
        <v>0</v>
      </c>
    </row>
    <row r="386" spans="1:29">
      <c r="A386" t="s">
        <v>263</v>
      </c>
      <c r="B386" s="16" t="str">
        <f>INDEX(emprunts!C:C,MATCH($A386,emprunts!A:A,0))</f>
        <v>Dexia CL</v>
      </c>
      <c r="C386" s="18">
        <f>INDEX(emprunts!M:M,MATCH($A386,emprunts!$A:$A,0))</f>
        <v>39783</v>
      </c>
      <c r="D386" s="18">
        <f>IF(INDEX(emprunts!O:O,MATCH($A386,emprunts!$A:$A,0))="",INDEX(emprunts!N:N,MATCH($A386,emprunts!$A:$A,0)),MIN(INDEX(emprunts!N:N,MATCH($A386,emprunts!$A:$A,0)),INDEX(emprunts!O:O,MATCH($A386,emprunts!$A:$A,0))))</f>
        <v>41244</v>
      </c>
      <c r="E386" s="52">
        <f>INDEX(emprunts!I:I,MATCH($A386,emprunts!$A:$A,0))</f>
        <v>25</v>
      </c>
      <c r="F386" s="18" t="str">
        <f>INDEX(emprunts!P:P,MATCH($A386,emprunts!$A:$A,0))</f>
        <v>Pente</v>
      </c>
      <c r="G386" s="126" t="str">
        <f>IF(LEFT(A386,3)="vx_","vx",INDEX(Categorie,MATCH($A386,emprunts!$A$2:$A$149,0)))</f>
        <v>Struct</v>
      </c>
      <c r="H386">
        <v>2007</v>
      </c>
      <c r="I386">
        <f t="shared" si="47"/>
        <v>0</v>
      </c>
      <c r="N386"/>
      <c r="O386" s="58"/>
      <c r="Q386" s="14"/>
      <c r="R386" s="14"/>
      <c r="S386" s="14"/>
      <c r="T386" s="14"/>
      <c r="U386" s="14">
        <f t="shared" si="50"/>
        <v>0</v>
      </c>
      <c r="V386" s="14">
        <f t="shared" si="51"/>
        <v>0</v>
      </c>
      <c r="X386" s="85">
        <f t="shared" si="48"/>
        <v>0</v>
      </c>
      <c r="Y386" s="21" t="str">
        <f t="shared" si="46"/>
        <v/>
      </c>
      <c r="AA386" s="55">
        <f t="shared" si="52"/>
        <v>0</v>
      </c>
      <c r="AB386" s="55">
        <f t="shared" si="53"/>
        <v>0</v>
      </c>
      <c r="AC386" s="55">
        <f t="shared" si="49"/>
        <v>0</v>
      </c>
    </row>
    <row r="387" spans="1:29">
      <c r="A387" s="1" t="s">
        <v>479</v>
      </c>
      <c r="B387" s="16" t="str">
        <f>INDEX(emprunts!C:C,MATCH($A387,emprunts!A:A,0))</f>
        <v>Caisse d'Épargne</v>
      </c>
      <c r="C387" s="18">
        <f>INDEX(emprunts!M:M,MATCH($A387,emprunts!$A:$A,0))</f>
        <v>39050</v>
      </c>
      <c r="D387" s="18">
        <f>IF(INDEX(emprunts!O:O,MATCH($A387,emprunts!$A:$A,0))="",INDEX(emprunts!N:N,MATCH($A387,emprunts!$A:$A,0)),MIN(INDEX(emprunts!N:N,MATCH($A387,emprunts!$A:$A,0)),INDEX(emprunts!O:O,MATCH($A387,emprunts!$A:$A,0))))</f>
        <v>40142</v>
      </c>
      <c r="E387" s="52">
        <f>INDEX(emprunts!I:I,MATCH($A387,emprunts!$A:$A,0))</f>
        <v>20</v>
      </c>
      <c r="F387" s="18" t="str">
        <f>INDEX(emprunts!P:P,MATCH($A387,emprunts!$A:$A,0))</f>
        <v>Pente</v>
      </c>
      <c r="G387" s="126" t="str">
        <f>IF(LEFT(A387,3)="vx_","vx",INDEX(Categorie,MATCH($A387,emprunts!$A$2:$A$149,0)))</f>
        <v>Struct</v>
      </c>
      <c r="H387">
        <v>2007</v>
      </c>
      <c r="I387">
        <f t="shared" si="47"/>
        <v>1</v>
      </c>
      <c r="N387" s="14">
        <v>5000000</v>
      </c>
      <c r="O387" s="14">
        <v>4820929</v>
      </c>
      <c r="Q387" s="14">
        <v>167500</v>
      </c>
      <c r="R387" s="14">
        <v>179070.7</v>
      </c>
      <c r="S387" s="14"/>
      <c r="T387" s="14">
        <v>16150.11</v>
      </c>
      <c r="U387" s="14">
        <f>SUM(Q387:S387)</f>
        <v>346570.7</v>
      </c>
      <c r="V387" s="14">
        <f t="shared" si="51"/>
        <v>0</v>
      </c>
      <c r="X387" s="85">
        <f t="shared" si="48"/>
        <v>0</v>
      </c>
      <c r="Y387" s="21">
        <f t="shared" si="46"/>
        <v>3.455710007690678E-2</v>
      </c>
      <c r="AA387" s="55">
        <f t="shared" si="52"/>
        <v>169226.5</v>
      </c>
      <c r="AB387" s="55">
        <f t="shared" si="53"/>
        <v>-0.29999999981373549</v>
      </c>
      <c r="AC387" s="55">
        <f t="shared" si="49"/>
        <v>4897011.0230136979</v>
      </c>
    </row>
    <row r="388" spans="1:29">
      <c r="A388" s="1" t="s">
        <v>540</v>
      </c>
      <c r="B388" s="16" t="str">
        <f>INDEX(emprunts!C:C,MATCH($A388,emprunts!A:A,0))</f>
        <v>Crédit Mutuel</v>
      </c>
      <c r="C388" s="18">
        <f>INDEX(emprunts!M:M,MATCH($A388,emprunts!$A:$A,0))</f>
        <v>36495</v>
      </c>
      <c r="D388" s="18">
        <f>IF(INDEX(emprunts!O:O,MATCH($A388,emprunts!$A:$A,0))="",INDEX(emprunts!N:N,MATCH($A388,emprunts!$A:$A,0)),MIN(INDEX(emprunts!N:N,MATCH($A388,emprunts!$A:$A,0)),INDEX(emprunts!O:O,MATCH($A388,emprunts!$A:$A,0))))</f>
        <v>41973</v>
      </c>
      <c r="E388" s="52">
        <f>INDEX(emprunts!I:I,MATCH($A388,emprunts!$A:$A,0))</f>
        <v>15</v>
      </c>
      <c r="F388" s="18" t="str">
        <f>INDEX(emprunts!P:P,MATCH($A388,emprunts!$A:$A,0))</f>
        <v>Fixe à phase</v>
      </c>
      <c r="G388" s="126" t="str">
        <f>IF(LEFT(A388,3)="vx_","vx",INDEX(Categorie,MATCH($A388,emprunts!$A$2:$A$149,0)))</f>
        <v>Non_st</v>
      </c>
      <c r="H388" s="6">
        <v>2008</v>
      </c>
      <c r="I388">
        <f t="shared" si="47"/>
        <v>1</v>
      </c>
      <c r="J388" s="4"/>
      <c r="K388" t="s">
        <v>155</v>
      </c>
      <c r="L388" s="5">
        <v>36860</v>
      </c>
      <c r="M388" s="5">
        <v>36860</v>
      </c>
      <c r="N388" s="14">
        <v>1524490.17</v>
      </c>
      <c r="O388" s="14">
        <v>830457</v>
      </c>
      <c r="P388" s="4">
        <v>3.5249999999999997E-2</v>
      </c>
      <c r="Q388" s="14">
        <v>33587.89</v>
      </c>
      <c r="R388" s="14">
        <v>122390.58</v>
      </c>
      <c r="S388" s="14"/>
      <c r="T388" s="14">
        <v>2486.25</v>
      </c>
      <c r="U388" s="14">
        <f>SUM(Q388:S388)</f>
        <v>155978.47</v>
      </c>
      <c r="V388" s="14">
        <f t="shared" si="51"/>
        <v>0</v>
      </c>
      <c r="W388" s="85"/>
      <c r="X388" s="85">
        <f t="shared" si="48"/>
        <v>0</v>
      </c>
      <c r="Y388" s="21">
        <f t="shared" si="46"/>
        <v>3.7267060683486834E-2</v>
      </c>
      <c r="AA388" s="55">
        <f t="shared" si="52"/>
        <v>33229.26</v>
      </c>
      <c r="AB388" s="55">
        <f t="shared" si="53"/>
        <v>-0.42000000004190952</v>
      </c>
      <c r="AC388" s="55">
        <f t="shared" si="49"/>
        <v>891652.29</v>
      </c>
    </row>
    <row r="389" spans="1:29">
      <c r="A389" t="s">
        <v>10</v>
      </c>
      <c r="B389" s="16" t="str">
        <f>INDEX(emprunts!C:C,MATCH($A389,emprunts!A:A,0))</f>
        <v>Crédit Mutuel</v>
      </c>
      <c r="C389" s="18">
        <f>INDEX(emprunts!M:M,MATCH($A389,emprunts!$A:$A,0))</f>
        <v>36950</v>
      </c>
      <c r="D389" s="18">
        <f>IF(INDEX(emprunts!O:O,MATCH($A389,emprunts!$A:$A,0))="",INDEX(emprunts!N:N,MATCH($A389,emprunts!$A:$A,0)),MIN(INDEX(emprunts!N:N,MATCH($A389,emprunts!$A:$A,0)),INDEX(emprunts!O:O,MATCH($A389,emprunts!$A:$A,0))))</f>
        <v>42429</v>
      </c>
      <c r="E389" s="52">
        <f>INDEX(emprunts!I:I,MATCH($A389,emprunts!$A:$A,0))</f>
        <v>15</v>
      </c>
      <c r="F389" s="18" t="str">
        <f>INDEX(emprunts!P:P,MATCH($A389,emprunts!$A:$A,0))</f>
        <v>Fixe</v>
      </c>
      <c r="G389" s="126" t="str">
        <f>IF(LEFT(A389,3)="vx_","vx",INDEX(Categorie,MATCH($A389,emprunts!$A$2:$A$149,0)))</f>
        <v>Non_st</v>
      </c>
      <c r="H389">
        <v>2008</v>
      </c>
      <c r="I389">
        <f t="shared" si="47"/>
        <v>1</v>
      </c>
      <c r="L389" s="5">
        <v>37315</v>
      </c>
      <c r="M389" s="5">
        <v>38045</v>
      </c>
      <c r="N389" s="14">
        <v>609796.06999999995</v>
      </c>
      <c r="O389" s="14">
        <v>375259</v>
      </c>
      <c r="P389" s="4">
        <v>4.99E-2</v>
      </c>
      <c r="Q389" s="14">
        <v>14915.14</v>
      </c>
      <c r="R389" s="14">
        <v>46907.39</v>
      </c>
      <c r="S389" s="14"/>
      <c r="T389" s="14">
        <v>15757.1</v>
      </c>
      <c r="U389" s="14">
        <f>SUM(Q389:S389)</f>
        <v>61822.53</v>
      </c>
      <c r="V389" s="14">
        <f t="shared" si="51"/>
        <v>0</v>
      </c>
      <c r="X389" s="85">
        <f t="shared" si="48"/>
        <v>0</v>
      </c>
      <c r="Y389" s="21">
        <f t="shared" si="46"/>
        <v>3.2633372759801382E-2</v>
      </c>
      <c r="AA389" s="55">
        <f t="shared" si="52"/>
        <v>13011.339999999997</v>
      </c>
      <c r="AB389" s="55">
        <f t="shared" si="53"/>
        <v>-0.60999999998603016</v>
      </c>
      <c r="AC389" s="55">
        <f t="shared" si="49"/>
        <v>398712.69500000001</v>
      </c>
    </row>
    <row r="390" spans="1:29">
      <c r="A390" t="s">
        <v>14</v>
      </c>
      <c r="B390" s="16" t="str">
        <f>INDEX(emprunts!C:C,MATCH($A390,emprunts!A:A,0))</f>
        <v>CDC</v>
      </c>
      <c r="C390" s="18">
        <f>INDEX(emprunts!M:M,MATCH($A390,emprunts!$A:$A,0))</f>
        <v>37006</v>
      </c>
      <c r="D390" s="18">
        <f>IF(INDEX(emprunts!O:O,MATCH($A390,emprunts!$A:$A,0))="",INDEX(emprunts!N:N,MATCH($A390,emprunts!$A:$A,0)),MIN(INDEX(emprunts!N:N,MATCH($A390,emprunts!$A:$A,0)),INDEX(emprunts!O:O,MATCH($A390,emprunts!$A:$A,0))))</f>
        <v>38102</v>
      </c>
      <c r="E390" s="52">
        <f>INDEX(emprunts!I:I,MATCH($A390,emprunts!$A:$A,0))</f>
        <v>3</v>
      </c>
      <c r="F390" s="18" t="str">
        <f>INDEX(emprunts!P:P,MATCH($A390,emprunts!$A:$A,0))</f>
        <v>Fixe</v>
      </c>
      <c r="G390" s="126" t="str">
        <f>IF(LEFT(A390,3)="vx_","vx",INDEX(Categorie,MATCH($A390,emprunts!$A$2:$A$149,0)))</f>
        <v>Non_st</v>
      </c>
      <c r="H390">
        <v>2008</v>
      </c>
      <c r="I390">
        <f t="shared" si="47"/>
        <v>1</v>
      </c>
      <c r="N390"/>
      <c r="O390" s="58"/>
      <c r="Q390" s="14"/>
      <c r="R390" s="14"/>
      <c r="S390" s="14"/>
      <c r="T390" s="14"/>
      <c r="U390" s="14"/>
      <c r="V390" s="14" t="str">
        <f t="shared" si="51"/>
        <v/>
      </c>
      <c r="X390" s="85">
        <f t="shared" si="48"/>
        <v>0</v>
      </c>
      <c r="Y390" s="21" t="str">
        <f t="shared" si="46"/>
        <v/>
      </c>
      <c r="AA390" s="55">
        <f t="shared" si="52"/>
        <v>0</v>
      </c>
      <c r="AB390" s="55">
        <f t="shared" si="53"/>
        <v>0</v>
      </c>
      <c r="AC390" s="55">
        <f t="shared" si="49"/>
        <v>0</v>
      </c>
    </row>
    <row r="391" spans="1:29">
      <c r="A391" t="s">
        <v>22</v>
      </c>
      <c r="B391" s="16" t="str">
        <f>INDEX(emprunts!C:C,MATCH($A391,emprunts!A:A,0))</f>
        <v>Dexia CL</v>
      </c>
      <c r="C391" s="18">
        <f>INDEX(emprunts!M:M,MATCH($A391,emprunts!$A:$A,0))</f>
        <v>37221</v>
      </c>
      <c r="D391" s="18">
        <f>IF(INDEX(emprunts!O:O,MATCH($A391,emprunts!$A:$A,0))="",INDEX(emprunts!N:N,MATCH($A391,emprunts!$A:$A,0)),MIN(INDEX(emprunts!N:N,MATCH($A391,emprunts!$A:$A,0)),INDEX(emprunts!O:O,MATCH($A391,emprunts!$A:$A,0))))</f>
        <v>38777</v>
      </c>
      <c r="E391" s="52">
        <f>INDEX(emprunts!I:I,MATCH($A391,emprunts!$A:$A,0))</f>
        <v>20</v>
      </c>
      <c r="F391" s="18" t="str">
        <f>INDEX(emprunts!P:P,MATCH($A391,emprunts!$A:$A,0))</f>
        <v>Annulable</v>
      </c>
      <c r="G391" s="126" t="str">
        <f>IF(LEFT(A391,3)="vx_","vx",INDEX(Categorie,MATCH($A391,emprunts!$A$2:$A$149,0)))</f>
        <v>Struct</v>
      </c>
      <c r="H391">
        <v>2008</v>
      </c>
      <c r="I391">
        <f t="shared" si="47"/>
        <v>1</v>
      </c>
      <c r="N391"/>
      <c r="O391" s="58"/>
      <c r="Q391" s="14"/>
      <c r="R391" s="14"/>
      <c r="S391" s="14"/>
      <c r="T391" s="14"/>
      <c r="U391" s="14"/>
      <c r="V391" s="14" t="str">
        <f t="shared" si="51"/>
        <v/>
      </c>
      <c r="X391" s="85">
        <f t="shared" si="48"/>
        <v>0</v>
      </c>
      <c r="Y391" s="21" t="str">
        <f t="shared" si="46"/>
        <v/>
      </c>
      <c r="AA391" s="55">
        <f t="shared" si="52"/>
        <v>0</v>
      </c>
      <c r="AB391" s="55">
        <f t="shared" si="53"/>
        <v>0</v>
      </c>
      <c r="AC391" s="55">
        <f t="shared" si="49"/>
        <v>0</v>
      </c>
    </row>
    <row r="392" spans="1:29">
      <c r="A392" t="s">
        <v>26</v>
      </c>
      <c r="B392" s="16" t="str">
        <f>INDEX(emprunts!C:C,MATCH($A392,emprunts!A:A,0))</f>
        <v>CDC</v>
      </c>
      <c r="C392" s="18">
        <f>INDEX(emprunts!M:M,MATCH($A392,emprunts!$A:$A,0))</f>
        <v>37281</v>
      </c>
      <c r="D392" s="18">
        <f>IF(INDEX(emprunts!O:O,MATCH($A392,emprunts!$A:$A,0))="",INDEX(emprunts!N:N,MATCH($A392,emprunts!$A:$A,0)),MIN(INDEX(emprunts!N:N,MATCH($A392,emprunts!$A:$A,0)),INDEX(emprunts!O:O,MATCH($A392,emprunts!$A:$A,0))))</f>
        <v>39838</v>
      </c>
      <c r="E392" s="52">
        <f>INDEX(emprunts!I:I,MATCH($A392,emprunts!$A:$A,0))</f>
        <v>7</v>
      </c>
      <c r="F392" s="18" t="str">
        <f>INDEX(emprunts!P:P,MATCH($A392,emprunts!$A:$A,0))</f>
        <v>Fixe</v>
      </c>
      <c r="G392" s="126" t="str">
        <f>IF(LEFT(A392,3)="vx_","vx",INDEX(Categorie,MATCH($A392,emprunts!$A$2:$A$149,0)))</f>
        <v>Non_st</v>
      </c>
      <c r="H392">
        <v>2008</v>
      </c>
      <c r="I392">
        <f t="shared" si="47"/>
        <v>1</v>
      </c>
      <c r="N392"/>
      <c r="O392" s="58"/>
      <c r="Q392" s="14"/>
      <c r="R392" s="14"/>
      <c r="S392" s="14"/>
      <c r="T392" s="14"/>
      <c r="U392" s="14"/>
      <c r="V392" s="14" t="str">
        <f t="shared" si="51"/>
        <v/>
      </c>
      <c r="X392" s="85">
        <f t="shared" si="48"/>
        <v>0</v>
      </c>
      <c r="Y392" s="21" t="str">
        <f t="shared" si="46"/>
        <v/>
      </c>
      <c r="AA392" s="55">
        <f t="shared" si="52"/>
        <v>0</v>
      </c>
      <c r="AB392" s="55">
        <f t="shared" si="53"/>
        <v>0</v>
      </c>
      <c r="AC392" s="55">
        <f t="shared" si="49"/>
        <v>0</v>
      </c>
    </row>
    <row r="393" spans="1:29">
      <c r="A393" t="s">
        <v>28</v>
      </c>
      <c r="B393" s="16" t="str">
        <f>INDEX(emprunts!C:C,MATCH($A393,emprunts!A:A,0))</f>
        <v>CDC</v>
      </c>
      <c r="C393" s="18">
        <f>INDEX(emprunts!M:M,MATCH($A393,emprunts!$A:$A,0))</f>
        <v>37288</v>
      </c>
      <c r="D393" s="18">
        <f>IF(INDEX(emprunts!O:O,MATCH($A393,emprunts!$A:$A,0))="",INDEX(emprunts!N:N,MATCH($A393,emprunts!$A:$A,0)),MIN(INDEX(emprunts!N:N,MATCH($A393,emprunts!$A:$A,0)),INDEX(emprunts!O:O,MATCH($A393,emprunts!$A:$A,0))))</f>
        <v>44593</v>
      </c>
      <c r="E393" s="52">
        <f>INDEX(emprunts!I:I,MATCH($A393,emprunts!$A:$A,0))</f>
        <v>20</v>
      </c>
      <c r="F393" s="18" t="str">
        <f>INDEX(emprunts!P:P,MATCH($A393,emprunts!$A:$A,0))</f>
        <v>Livret A</v>
      </c>
      <c r="G393" s="126" t="str">
        <f>IF(LEFT(A393,3)="vx_","vx",INDEX(Categorie,MATCH($A393,emprunts!$A$2:$A$149,0)))</f>
        <v>Livr_A</v>
      </c>
      <c r="H393">
        <v>2008</v>
      </c>
      <c r="I393">
        <f t="shared" si="47"/>
        <v>1</v>
      </c>
      <c r="L393" s="5">
        <v>37653</v>
      </c>
      <c r="M393" s="5">
        <v>37653</v>
      </c>
      <c r="N393" s="14">
        <v>2137796</v>
      </c>
      <c r="O393" s="14">
        <v>1606283</v>
      </c>
      <c r="Q393" s="14">
        <v>46731.76</v>
      </c>
      <c r="R393" s="14">
        <v>93054.28</v>
      </c>
      <c r="S393" s="14"/>
      <c r="T393" s="14">
        <v>51194.34</v>
      </c>
      <c r="U393" s="14">
        <f>SUM(Q393:S393)</f>
        <v>139786.04</v>
      </c>
      <c r="V393" s="14">
        <f t="shared" si="51"/>
        <v>0</v>
      </c>
      <c r="X393" s="85">
        <f t="shared" si="48"/>
        <v>0</v>
      </c>
      <c r="Y393" s="21">
        <f t="shared" si="46"/>
        <v>3.3452946991237603E-2</v>
      </c>
      <c r="AA393" s="55">
        <f t="shared" si="52"/>
        <v>55291.37</v>
      </c>
      <c r="AB393" s="55">
        <f t="shared" si="53"/>
        <v>0.28000000002793968</v>
      </c>
      <c r="AC393" s="55">
        <f t="shared" si="49"/>
        <v>1652810.14</v>
      </c>
    </row>
    <row r="394" spans="1:29">
      <c r="A394" t="s">
        <v>31</v>
      </c>
      <c r="B394" s="16" t="str">
        <f>INDEX(emprunts!C:C,MATCH($A394,emprunts!A:A,0))</f>
        <v>CDC</v>
      </c>
      <c r="C394" s="18">
        <f>INDEX(emprunts!M:M,MATCH($A394,emprunts!$A:$A,0))</f>
        <v>37347</v>
      </c>
      <c r="D394" s="18">
        <f>IF(INDEX(emprunts!O:O,MATCH($A394,emprunts!$A:$A,0))="",INDEX(emprunts!N:N,MATCH($A394,emprunts!$A:$A,0)),MIN(INDEX(emprunts!N:N,MATCH($A394,emprunts!$A:$A,0)),INDEX(emprunts!O:O,MATCH($A394,emprunts!$A:$A,0))))</f>
        <v>44652</v>
      </c>
      <c r="E394" s="52">
        <f>INDEX(emprunts!I:I,MATCH($A394,emprunts!$A:$A,0))</f>
        <v>20</v>
      </c>
      <c r="F394" s="18" t="str">
        <f>INDEX(emprunts!P:P,MATCH($A394,emprunts!$A:$A,0))</f>
        <v>Livret A</v>
      </c>
      <c r="G394" s="126" t="str">
        <f>IF(LEFT(A394,3)="vx_","vx",INDEX(Categorie,MATCH($A394,emprunts!$A$2:$A$149,0)))</f>
        <v>Livr_A</v>
      </c>
      <c r="H394">
        <v>2008</v>
      </c>
      <c r="I394">
        <f t="shared" si="47"/>
        <v>1</v>
      </c>
      <c r="N394" s="14"/>
      <c r="O394" s="14"/>
      <c r="Q394" s="14"/>
      <c r="R394" s="14"/>
      <c r="S394" s="14"/>
      <c r="T394" s="14"/>
      <c r="U394" s="14"/>
      <c r="V394" s="14" t="str">
        <f t="shared" si="51"/>
        <v/>
      </c>
      <c r="X394" s="85">
        <f t="shared" si="48"/>
        <v>0</v>
      </c>
      <c r="Y394" s="21" t="str">
        <f t="shared" si="46"/>
        <v/>
      </c>
      <c r="AA394" s="55">
        <f t="shared" si="52"/>
        <v>0</v>
      </c>
      <c r="AB394" s="55">
        <f t="shared" si="53"/>
        <v>0</v>
      </c>
      <c r="AC394" s="55">
        <f t="shared" si="49"/>
        <v>0</v>
      </c>
    </row>
    <row r="395" spans="1:29">
      <c r="A395" t="s">
        <v>33</v>
      </c>
      <c r="B395" s="16" t="str">
        <f>INDEX(emprunts!C:C,MATCH($A395,emprunts!A:A,0))</f>
        <v>Crédit Agricole</v>
      </c>
      <c r="C395" s="18">
        <f>INDEX(emprunts!M:M,MATCH($A395,emprunts!$A:$A,0))</f>
        <v>37361</v>
      </c>
      <c r="D395" s="18">
        <f>IF(INDEX(emprunts!O:O,MATCH($A395,emprunts!$A:$A,0))="",INDEX(emprunts!N:N,MATCH($A395,emprunts!$A:$A,0)),MIN(INDEX(emprunts!N:N,MATCH($A395,emprunts!$A:$A,0)),INDEX(emprunts!O:O,MATCH($A395,emprunts!$A:$A,0))))</f>
        <v>42843</v>
      </c>
      <c r="E395" s="52">
        <f>INDEX(emprunts!I:I,MATCH($A395,emprunts!$A:$A,0))</f>
        <v>15</v>
      </c>
      <c r="F395" s="18" t="str">
        <f>INDEX(emprunts!P:P,MATCH($A395,emprunts!$A:$A,0))</f>
        <v>Barrière hors zone EUR</v>
      </c>
      <c r="G395" s="126" t="str">
        <f>IF(LEFT(A395,3)="vx_","vx",INDEX(Categorie,MATCH($A395,emprunts!$A$2:$A$149,0)))</f>
        <v>Struct</v>
      </c>
      <c r="H395">
        <v>2008</v>
      </c>
      <c r="I395">
        <f t="shared" si="47"/>
        <v>1</v>
      </c>
      <c r="L395" s="5">
        <v>37726</v>
      </c>
      <c r="M395" s="5">
        <v>37726</v>
      </c>
      <c r="N395" s="14">
        <v>13097112.84</v>
      </c>
      <c r="O395" s="14">
        <v>8651140</v>
      </c>
      <c r="Q395" s="14">
        <v>364368.45</v>
      </c>
      <c r="R395" s="14">
        <v>806152.51</v>
      </c>
      <c r="S395" s="14"/>
      <c r="T395" s="14">
        <v>118712.86</v>
      </c>
      <c r="U395" s="14">
        <f>SUM(Q395:S395)</f>
        <v>1170520.96</v>
      </c>
      <c r="V395" s="14">
        <f t="shared" si="51"/>
        <v>0</v>
      </c>
      <c r="X395" s="85">
        <f t="shared" si="48"/>
        <v>0</v>
      </c>
      <c r="Y395" s="21">
        <f t="shared" si="46"/>
        <v>2.4798330819192478E-2</v>
      </c>
      <c r="AA395" s="55">
        <f t="shared" si="52"/>
        <v>224529.45</v>
      </c>
      <c r="AB395" s="55">
        <f t="shared" si="53"/>
        <v>0.50999999977648258</v>
      </c>
      <c r="AC395" s="55">
        <f t="shared" si="49"/>
        <v>9054216.2550000008</v>
      </c>
    </row>
    <row r="396" spans="1:29">
      <c r="A396" t="s">
        <v>38</v>
      </c>
      <c r="B396" s="16" t="str">
        <f>INDEX(emprunts!C:C,MATCH($A396,emprunts!A:A,0))</f>
        <v>Dexia CL</v>
      </c>
      <c r="C396" s="18">
        <f>INDEX(emprunts!M:M,MATCH($A396,emprunts!$A:$A,0))</f>
        <v>37377</v>
      </c>
      <c r="D396" s="18">
        <f>IF(INDEX(emprunts!O:O,MATCH($A396,emprunts!$A:$A,0))="",INDEX(emprunts!N:N,MATCH($A396,emprunts!$A:$A,0)),MIN(INDEX(emprunts!N:N,MATCH($A396,emprunts!$A:$A,0)),INDEX(emprunts!O:O,MATCH($A396,emprunts!$A:$A,0))))</f>
        <v>38087</v>
      </c>
      <c r="E396" s="52">
        <f>INDEX(emprunts!I:I,MATCH($A396,emprunts!$A:$A,0))</f>
        <v>17</v>
      </c>
      <c r="F396" s="18" t="str">
        <f>INDEX(emprunts!P:P,MATCH($A396,emprunts!$A:$A,0))</f>
        <v>Barrière</v>
      </c>
      <c r="G396" s="126" t="str">
        <f>IF(LEFT(A396,3)="vx_","vx",INDEX(Categorie,MATCH($A396,emprunts!$A$2:$A$149,0)))</f>
        <v>Struct</v>
      </c>
      <c r="H396">
        <v>2008</v>
      </c>
      <c r="I396">
        <f t="shared" si="47"/>
        <v>1</v>
      </c>
      <c r="N396" s="14"/>
      <c r="O396" s="14"/>
      <c r="Q396" s="14"/>
      <c r="R396" s="14"/>
      <c r="S396" s="14"/>
      <c r="T396" s="14"/>
      <c r="U396" s="14"/>
      <c r="V396" s="14" t="str">
        <f t="shared" si="51"/>
        <v/>
      </c>
      <c r="X396" s="85">
        <f t="shared" si="48"/>
        <v>0</v>
      </c>
      <c r="Y396" s="21" t="str">
        <f t="shared" si="46"/>
        <v/>
      </c>
      <c r="AA396" s="55">
        <f t="shared" si="52"/>
        <v>0</v>
      </c>
      <c r="AB396" s="55">
        <f t="shared" si="53"/>
        <v>0</v>
      </c>
      <c r="AC396" s="55">
        <f t="shared" si="49"/>
        <v>0</v>
      </c>
    </row>
    <row r="397" spans="1:29">
      <c r="A397" t="s">
        <v>43</v>
      </c>
      <c r="B397" s="16" t="str">
        <f>INDEX(emprunts!C:C,MATCH($A397,emprunts!A:A,0))</f>
        <v>Dexia CL</v>
      </c>
      <c r="C397" s="18">
        <f>INDEX(emprunts!M:M,MATCH($A397,emprunts!$A:$A,0))</f>
        <v>37377</v>
      </c>
      <c r="D397" s="18">
        <f>IF(INDEX(emprunts!O:O,MATCH($A397,emprunts!$A:$A,0))="",INDEX(emprunts!N:N,MATCH($A397,emprunts!$A:$A,0)),MIN(INDEX(emprunts!N:N,MATCH($A397,emprunts!$A:$A,0)),INDEX(emprunts!O:O,MATCH($A397,emprunts!$A:$A,0))))</f>
        <v>38534</v>
      </c>
      <c r="E397" s="52">
        <f>INDEX(emprunts!I:I,MATCH($A397,emprunts!$A:$A,0))</f>
        <v>19.25</v>
      </c>
      <c r="F397" s="18" t="str">
        <f>INDEX(emprunts!P:P,MATCH($A397,emprunts!$A:$A,0))</f>
        <v>Barrière hors zone EUR</v>
      </c>
      <c r="G397" s="126" t="str">
        <f>IF(LEFT(A397,3)="vx_","vx",INDEX(Categorie,MATCH($A397,emprunts!$A$2:$A$149,0)))</f>
        <v>Struct</v>
      </c>
      <c r="H397">
        <v>2008</v>
      </c>
      <c r="I397">
        <f t="shared" si="47"/>
        <v>1</v>
      </c>
      <c r="N397" s="14"/>
      <c r="O397" s="14"/>
      <c r="Q397" s="14"/>
      <c r="R397" s="14"/>
      <c r="S397" s="14"/>
      <c r="T397" s="14"/>
      <c r="U397" s="14"/>
      <c r="V397" s="14" t="str">
        <f t="shared" si="51"/>
        <v/>
      </c>
      <c r="X397" s="85">
        <f t="shared" si="48"/>
        <v>0</v>
      </c>
      <c r="Y397" s="21" t="str">
        <f t="shared" si="46"/>
        <v/>
      </c>
      <c r="AA397" s="55">
        <f t="shared" si="52"/>
        <v>0</v>
      </c>
      <c r="AB397" s="55">
        <f t="shared" si="53"/>
        <v>0</v>
      </c>
      <c r="AC397" s="55">
        <f t="shared" si="49"/>
        <v>0</v>
      </c>
    </row>
    <row r="398" spans="1:29">
      <c r="A398" t="s">
        <v>46</v>
      </c>
      <c r="B398" s="16" t="str">
        <f>INDEX(emprunts!C:C,MATCH($A398,emprunts!A:A,0))</f>
        <v>Dexia CL</v>
      </c>
      <c r="C398" s="18">
        <f>INDEX(emprunts!M:M,MATCH($A398,emprunts!$A:$A,0))</f>
        <v>37377</v>
      </c>
      <c r="D398" s="18">
        <f>IF(INDEX(emprunts!O:O,MATCH($A398,emprunts!$A:$A,0))="",INDEX(emprunts!N:N,MATCH($A398,emprunts!$A:$A,0)),MIN(INDEX(emprunts!N:N,MATCH($A398,emprunts!$A:$A,0)),INDEX(emprunts!O:O,MATCH($A398,emprunts!$A:$A,0))))</f>
        <v>38087</v>
      </c>
      <c r="E398" s="52">
        <f>INDEX(emprunts!I:I,MATCH($A398,emprunts!$A:$A,0))</f>
        <v>19.25</v>
      </c>
      <c r="F398" s="18" t="str">
        <f>INDEX(emprunts!P:P,MATCH($A398,emprunts!$A:$A,0))</f>
        <v>Barrière hors zone EUR</v>
      </c>
      <c r="G398" s="126" t="str">
        <f>IF(LEFT(A398,3)="vx_","vx",INDEX(Categorie,MATCH($A398,emprunts!$A$2:$A$149,0)))</f>
        <v>Struct</v>
      </c>
      <c r="H398">
        <v>2008</v>
      </c>
      <c r="I398">
        <f t="shared" si="47"/>
        <v>1</v>
      </c>
      <c r="N398" s="14"/>
      <c r="O398" s="14"/>
      <c r="Q398" s="14"/>
      <c r="R398" s="14"/>
      <c r="S398" s="14"/>
      <c r="T398" s="14"/>
      <c r="U398" s="14"/>
      <c r="V398" s="14" t="str">
        <f t="shared" si="51"/>
        <v/>
      </c>
      <c r="X398" s="85">
        <f t="shared" si="48"/>
        <v>0</v>
      </c>
      <c r="Y398" s="21" t="str">
        <f t="shared" si="46"/>
        <v/>
      </c>
      <c r="AA398" s="55">
        <f t="shared" si="52"/>
        <v>0</v>
      </c>
      <c r="AB398" s="55">
        <f t="shared" si="53"/>
        <v>0</v>
      </c>
      <c r="AC398" s="55">
        <f t="shared" si="49"/>
        <v>0</v>
      </c>
    </row>
    <row r="399" spans="1:29">
      <c r="A399" t="s">
        <v>51</v>
      </c>
      <c r="B399" s="16" t="str">
        <f>INDEX(emprunts!C:C,MATCH($A399,emprunts!A:A,0))</f>
        <v>Dexia CL</v>
      </c>
      <c r="C399" s="18">
        <f>INDEX(emprunts!M:M,MATCH($A399,emprunts!$A:$A,0))</f>
        <v>37377</v>
      </c>
      <c r="D399" s="18">
        <f>IF(INDEX(emprunts!O:O,MATCH($A399,emprunts!$A:$A,0))="",INDEX(emprunts!N:N,MATCH($A399,emprunts!$A:$A,0)),MIN(INDEX(emprunts!N:N,MATCH($A399,emprunts!$A:$A,0)),INDEX(emprunts!O:O,MATCH($A399,emprunts!$A:$A,0))))</f>
        <v>38193</v>
      </c>
      <c r="E399" s="52">
        <f>INDEX(emprunts!I:I,MATCH($A399,emprunts!$A:$A,0))</f>
        <v>8</v>
      </c>
      <c r="F399" s="18" t="str">
        <f>INDEX(emprunts!P:P,MATCH($A399,emprunts!$A:$A,0))</f>
        <v>Variable hors zone EUR</v>
      </c>
      <c r="G399" s="126" t="str">
        <f>IF(LEFT(A399,3)="vx_","vx",INDEX(Categorie,MATCH($A399,emprunts!$A$2:$A$149,0)))</f>
        <v>Struct</v>
      </c>
      <c r="H399">
        <v>2008</v>
      </c>
      <c r="I399">
        <f t="shared" si="47"/>
        <v>1</v>
      </c>
      <c r="N399" s="14"/>
      <c r="O399" s="14"/>
      <c r="Q399" s="14"/>
      <c r="R399" s="14"/>
      <c r="S399" s="14"/>
      <c r="T399" s="14"/>
      <c r="U399" s="14"/>
      <c r="V399" s="14" t="str">
        <f t="shared" si="51"/>
        <v/>
      </c>
      <c r="X399" s="85">
        <f t="shared" si="48"/>
        <v>0</v>
      </c>
      <c r="Y399" s="21" t="str">
        <f t="shared" si="46"/>
        <v/>
      </c>
      <c r="AA399" s="55">
        <f t="shared" si="52"/>
        <v>0</v>
      </c>
      <c r="AB399" s="55">
        <f t="shared" si="53"/>
        <v>0</v>
      </c>
      <c r="AC399" s="55">
        <f t="shared" si="49"/>
        <v>0</v>
      </c>
    </row>
    <row r="400" spans="1:29">
      <c r="A400" t="s">
        <v>55</v>
      </c>
      <c r="B400" s="16" t="str">
        <f>INDEX(emprunts!C:C,MATCH($A400,emprunts!A:A,0))</f>
        <v>CDC</v>
      </c>
      <c r="C400" s="18">
        <f>INDEX(emprunts!M:M,MATCH($A400,emprunts!$A:$A,0))</f>
        <v>37530</v>
      </c>
      <c r="D400" s="18">
        <f>IF(INDEX(emprunts!O:O,MATCH($A400,emprunts!$A:$A,0))="",INDEX(emprunts!N:N,MATCH($A400,emprunts!$A:$A,0)),MIN(INDEX(emprunts!N:N,MATCH($A400,emprunts!$A:$A,0)),INDEX(emprunts!O:O,MATCH($A400,emprunts!$A:$A,0))))</f>
        <v>37530</v>
      </c>
      <c r="E400" s="52">
        <f>INDEX(emprunts!I:I,MATCH($A400,emprunts!$A:$A,0))</f>
        <v>20</v>
      </c>
      <c r="F400" s="18" t="str">
        <f>INDEX(emprunts!P:P,MATCH($A400,emprunts!$A:$A,0))</f>
        <v>Livret A</v>
      </c>
      <c r="G400" s="126" t="str">
        <f>IF(LEFT(A400,3)="vx_","vx",INDEX(Categorie,MATCH($A400,emprunts!$A$2:$A$149,0)))</f>
        <v>Livr_A</v>
      </c>
      <c r="H400">
        <v>2008</v>
      </c>
      <c r="I400">
        <f t="shared" si="47"/>
        <v>1</v>
      </c>
      <c r="N400" s="14"/>
      <c r="O400" s="14"/>
      <c r="Q400" s="14"/>
      <c r="R400" s="14"/>
      <c r="S400" s="14"/>
      <c r="T400" s="14"/>
      <c r="U400" s="14"/>
      <c r="V400" s="14" t="str">
        <f t="shared" si="51"/>
        <v/>
      </c>
      <c r="X400" s="85">
        <f t="shared" si="48"/>
        <v>0</v>
      </c>
      <c r="Y400" s="21" t="str">
        <f t="shared" si="46"/>
        <v/>
      </c>
      <c r="AA400" s="55">
        <f t="shared" si="52"/>
        <v>0</v>
      </c>
      <c r="AB400" s="55">
        <f t="shared" si="53"/>
        <v>0</v>
      </c>
      <c r="AC400" s="55">
        <f t="shared" si="49"/>
        <v>0</v>
      </c>
    </row>
    <row r="401" spans="1:29">
      <c r="A401" t="s">
        <v>57</v>
      </c>
      <c r="B401" s="16" t="str">
        <f>INDEX(emprunts!C:C,MATCH($A401,emprunts!A:A,0))</f>
        <v>Dexia CL</v>
      </c>
      <c r="C401" s="18">
        <f>INDEX(emprunts!M:M,MATCH($A401,emprunts!$A:$A,0))</f>
        <v>37533</v>
      </c>
      <c r="D401" s="18">
        <f>IF(INDEX(emprunts!O:O,MATCH($A401,emprunts!$A:$A,0))="",INDEX(emprunts!N:N,MATCH($A401,emprunts!$A:$A,0)),MIN(INDEX(emprunts!N:N,MATCH($A401,emprunts!$A:$A,0)),INDEX(emprunts!O:O,MATCH($A401,emprunts!$A:$A,0))))</f>
        <v>38193</v>
      </c>
      <c r="E401" s="52">
        <f>INDEX(emprunts!I:I,MATCH($A401,emprunts!$A:$A,0))</f>
        <v>20</v>
      </c>
      <c r="F401" s="18" t="str">
        <f>INDEX(emprunts!P:P,MATCH($A401,emprunts!$A:$A,0))</f>
        <v>Fixe</v>
      </c>
      <c r="G401" s="126" t="str">
        <f>IF(LEFT(A401,3)="vx_","vx",INDEX(Categorie,MATCH($A401,emprunts!$A$2:$A$149,0)))</f>
        <v>Non_st</v>
      </c>
      <c r="H401">
        <v>2008</v>
      </c>
      <c r="I401">
        <f t="shared" si="47"/>
        <v>1</v>
      </c>
      <c r="N401" s="14"/>
      <c r="O401" s="14"/>
      <c r="Q401" s="14"/>
      <c r="R401" s="14"/>
      <c r="S401" s="14"/>
      <c r="T401" s="14"/>
      <c r="U401" s="14"/>
      <c r="V401" s="14" t="str">
        <f t="shared" si="51"/>
        <v/>
      </c>
      <c r="X401" s="85">
        <f t="shared" si="48"/>
        <v>0</v>
      </c>
      <c r="Y401" s="21" t="str">
        <f t="shared" si="46"/>
        <v/>
      </c>
      <c r="AA401" s="55">
        <f t="shared" si="52"/>
        <v>0</v>
      </c>
      <c r="AB401" s="55">
        <f t="shared" si="53"/>
        <v>0</v>
      </c>
      <c r="AC401" s="55">
        <f t="shared" si="49"/>
        <v>0</v>
      </c>
    </row>
    <row r="402" spans="1:29">
      <c r="A402" t="s">
        <v>59</v>
      </c>
      <c r="B402" s="16" t="str">
        <f>INDEX(emprunts!C:C,MATCH($A402,emprunts!A:A,0))</f>
        <v>CDC</v>
      </c>
      <c r="C402" s="18">
        <f>INDEX(emprunts!M:M,MATCH($A402,emprunts!$A:$A,0))</f>
        <v>37621</v>
      </c>
      <c r="D402" s="18">
        <f>IF(INDEX(emprunts!O:O,MATCH($A402,emprunts!$A:$A,0))="",INDEX(emprunts!N:N,MATCH($A402,emprunts!$A:$A,0)),MIN(INDEX(emprunts!N:N,MATCH($A402,emprunts!$A:$A,0)),INDEX(emprunts!O:O,MATCH($A402,emprunts!$A:$A,0))))</f>
        <v>44927</v>
      </c>
      <c r="E402" s="52">
        <f>INDEX(emprunts!I:I,MATCH($A402,emprunts!$A:$A,0))</f>
        <v>20</v>
      </c>
      <c r="F402" s="18" t="str">
        <f>INDEX(emprunts!P:P,MATCH($A402,emprunts!$A:$A,0))</f>
        <v>Livret A</v>
      </c>
      <c r="G402" s="126" t="str">
        <f>IF(LEFT(A402,3)="vx_","vx",INDEX(Categorie,MATCH($A402,emprunts!$A$2:$A$149,0)))</f>
        <v>Livr_A</v>
      </c>
      <c r="H402">
        <v>2008</v>
      </c>
      <c r="I402">
        <f t="shared" si="47"/>
        <v>1</v>
      </c>
      <c r="N402" s="14"/>
      <c r="O402" s="14"/>
      <c r="Q402" s="14"/>
      <c r="R402" s="14"/>
      <c r="S402" s="14"/>
      <c r="T402" s="14"/>
      <c r="U402" s="14"/>
      <c r="V402" s="14" t="str">
        <f t="shared" si="51"/>
        <v/>
      </c>
      <c r="X402" s="85">
        <f t="shared" si="48"/>
        <v>0</v>
      </c>
      <c r="Y402" s="21" t="str">
        <f t="shared" si="46"/>
        <v/>
      </c>
      <c r="AA402" s="55">
        <f t="shared" si="52"/>
        <v>0</v>
      </c>
      <c r="AB402" s="55">
        <f t="shared" si="53"/>
        <v>0</v>
      </c>
      <c r="AC402" s="55">
        <f t="shared" si="49"/>
        <v>0</v>
      </c>
    </row>
    <row r="403" spans="1:29">
      <c r="A403" t="s">
        <v>60</v>
      </c>
      <c r="B403" s="16" t="str">
        <f>INDEX(emprunts!C:C,MATCH($A403,emprunts!A:A,0))</f>
        <v>Dexia CL</v>
      </c>
      <c r="C403" s="18">
        <f>INDEX(emprunts!M:M,MATCH($A403,emprunts!$A:$A,0))</f>
        <v>37622</v>
      </c>
      <c r="D403" s="18">
        <f>IF(INDEX(emprunts!O:O,MATCH($A403,emprunts!$A:$A,0))="",INDEX(emprunts!N:N,MATCH($A403,emprunts!$A:$A,0)),MIN(INDEX(emprunts!N:N,MATCH($A403,emprunts!$A:$A,0)),INDEX(emprunts!O:O,MATCH($A403,emprunts!$A:$A,0))))</f>
        <v>39350</v>
      </c>
      <c r="E403" s="52">
        <f>INDEX(emprunts!I:I,MATCH($A403,emprunts!$A:$A,0))</f>
        <v>14</v>
      </c>
      <c r="F403" s="18" t="str">
        <f>INDEX(emprunts!P:P,MATCH($A403,emprunts!$A:$A,0))</f>
        <v>Barrière hors zone EUR</v>
      </c>
      <c r="G403" s="126" t="str">
        <f>IF(LEFT(A403,3)="vx_","vx",INDEX(Categorie,MATCH($A403,emprunts!$A$2:$A$149,0)))</f>
        <v>Struct</v>
      </c>
      <c r="H403">
        <v>2008</v>
      </c>
      <c r="I403">
        <f t="shared" si="47"/>
        <v>1</v>
      </c>
      <c r="N403" s="14">
        <v>11919139.83</v>
      </c>
      <c r="O403" s="14">
        <v>0</v>
      </c>
      <c r="Q403" s="14">
        <v>456157.42</v>
      </c>
      <c r="R403" s="14">
        <v>716040.55</v>
      </c>
      <c r="S403" s="14"/>
      <c r="T403" s="14">
        <v>0</v>
      </c>
      <c r="U403" s="14">
        <f>SUM(Q403:S403)</f>
        <v>1172197.97</v>
      </c>
      <c r="V403" s="14">
        <f t="shared" si="51"/>
        <v>0</v>
      </c>
      <c r="X403" s="85">
        <f t="shared" si="48"/>
        <v>0</v>
      </c>
      <c r="Y403" s="21" t="e">
        <f t="shared" si="46"/>
        <v>#DIV/0!</v>
      </c>
      <c r="AA403" s="55">
        <f t="shared" si="52"/>
        <v>19492.049999999988</v>
      </c>
      <c r="AB403" s="55">
        <f t="shared" si="53"/>
        <v>-0.44999999995343387</v>
      </c>
      <c r="AC403" s="55">
        <f t="shared" si="49"/>
        <v>0</v>
      </c>
    </row>
    <row r="404" spans="1:29">
      <c r="A404" t="s">
        <v>64</v>
      </c>
      <c r="B404" s="16" t="str">
        <f>INDEX(emprunts!C:C,MATCH($A404,emprunts!A:A,0))</f>
        <v>Dexia CL</v>
      </c>
      <c r="C404" s="18">
        <f>INDEX(emprunts!M:M,MATCH($A404,emprunts!$A:$A,0))</f>
        <v>37681</v>
      </c>
      <c r="D404" s="18">
        <f>IF(INDEX(emprunts!O:O,MATCH($A404,emprunts!$A:$A,0))="",INDEX(emprunts!N:N,MATCH($A404,emprunts!$A:$A,0)),MIN(INDEX(emprunts!N:N,MATCH($A404,emprunts!$A:$A,0)),INDEX(emprunts!O:O,MATCH($A404,emprunts!$A:$A,0))))</f>
        <v>38443</v>
      </c>
      <c r="E404" s="52">
        <f>INDEX(emprunts!I:I,MATCH($A404,emprunts!$A:$A,0))</f>
        <v>15</v>
      </c>
      <c r="F404" s="18" t="str">
        <f>INDEX(emprunts!P:P,MATCH($A404,emprunts!$A:$A,0))</f>
        <v>Barrière</v>
      </c>
      <c r="G404" s="126" t="str">
        <f>IF(LEFT(A404,3)="vx_","vx",INDEX(Categorie,MATCH($A404,emprunts!$A$2:$A$149,0)))</f>
        <v>Struct</v>
      </c>
      <c r="H404">
        <v>2008</v>
      </c>
      <c r="I404">
        <f t="shared" si="47"/>
        <v>1</v>
      </c>
      <c r="N404" s="14"/>
      <c r="O404" s="14"/>
      <c r="Q404" s="14"/>
      <c r="R404" s="14"/>
      <c r="S404" s="14"/>
      <c r="T404" s="14"/>
      <c r="U404" s="14"/>
      <c r="V404" s="14" t="str">
        <f t="shared" si="51"/>
        <v/>
      </c>
      <c r="X404" s="85">
        <f t="shared" si="48"/>
        <v>0</v>
      </c>
      <c r="Y404" s="21" t="str">
        <f t="shared" si="46"/>
        <v/>
      </c>
      <c r="AA404" s="55">
        <f t="shared" si="52"/>
        <v>0</v>
      </c>
      <c r="AB404" s="55">
        <f t="shared" si="53"/>
        <v>0</v>
      </c>
      <c r="AC404" s="55">
        <f t="shared" si="49"/>
        <v>0</v>
      </c>
    </row>
    <row r="405" spans="1:29">
      <c r="A405" t="s">
        <v>71</v>
      </c>
      <c r="B405" s="16" t="str">
        <f>INDEX(emprunts!C:C,MATCH($A405,emprunts!A:A,0))</f>
        <v>Dexia CL</v>
      </c>
      <c r="C405" s="18">
        <f>INDEX(emprunts!M:M,MATCH($A405,emprunts!$A:$A,0))</f>
        <v>37742</v>
      </c>
      <c r="D405" s="18">
        <f>IF(INDEX(emprunts!O:O,MATCH($A405,emprunts!$A:$A,0))="",INDEX(emprunts!N:N,MATCH($A405,emprunts!$A:$A,0)),MIN(INDEX(emprunts!N:N,MATCH($A405,emprunts!$A:$A,0)),INDEX(emprunts!O:O,MATCH($A405,emprunts!$A:$A,0))))</f>
        <v>38443</v>
      </c>
      <c r="E405" s="52">
        <f>INDEX(emprunts!I:I,MATCH($A405,emprunts!$A:$A,0))</f>
        <v>8</v>
      </c>
      <c r="F405" s="18" t="str">
        <f>INDEX(emprunts!P:P,MATCH($A405,emprunts!$A:$A,0))</f>
        <v>Barrière</v>
      </c>
      <c r="G405" s="126" t="str">
        <f>IF(LEFT(A405,3)="vx_","vx",INDEX(Categorie,MATCH($A405,emprunts!$A$2:$A$149,0)))</f>
        <v>Struct</v>
      </c>
      <c r="H405">
        <v>2008</v>
      </c>
      <c r="I405">
        <f t="shared" si="47"/>
        <v>1</v>
      </c>
      <c r="N405" s="14"/>
      <c r="O405" s="14"/>
      <c r="Q405" s="14"/>
      <c r="R405" s="14"/>
      <c r="S405" s="14"/>
      <c r="T405" s="14"/>
      <c r="U405" s="14"/>
      <c r="V405" s="14" t="str">
        <f t="shared" si="51"/>
        <v/>
      </c>
      <c r="X405" s="85">
        <f t="shared" si="48"/>
        <v>0</v>
      </c>
      <c r="Y405" s="21" t="str">
        <f t="shared" si="46"/>
        <v/>
      </c>
      <c r="AA405" s="55">
        <f t="shared" si="52"/>
        <v>0</v>
      </c>
      <c r="AB405" s="55">
        <f t="shared" si="53"/>
        <v>0</v>
      </c>
      <c r="AC405" s="55">
        <f t="shared" si="49"/>
        <v>0</v>
      </c>
    </row>
    <row r="406" spans="1:29">
      <c r="A406" t="s">
        <v>72</v>
      </c>
      <c r="B406" s="16" t="str">
        <f>INDEX(emprunts!C:C,MATCH($A406,emprunts!A:A,0))</f>
        <v>Dexia CL</v>
      </c>
      <c r="C406" s="18">
        <f>INDEX(emprunts!M:M,MATCH($A406,emprunts!$A:$A,0))</f>
        <v>37756</v>
      </c>
      <c r="D406" s="18">
        <f>IF(INDEX(emprunts!O:O,MATCH($A406,emprunts!$A:$A,0))="",INDEX(emprunts!N:N,MATCH($A406,emprunts!$A:$A,0)),MIN(INDEX(emprunts!N:N,MATCH($A406,emprunts!$A:$A,0)),INDEX(emprunts!O:O,MATCH($A406,emprunts!$A:$A,0))))</f>
        <v>39539</v>
      </c>
      <c r="E406" s="52">
        <f>INDEX(emprunts!I:I,MATCH($A406,emprunts!$A:$A,0))</f>
        <v>20</v>
      </c>
      <c r="F406" s="18" t="str">
        <f>INDEX(emprunts!P:P,MATCH($A406,emprunts!$A:$A,0))</f>
        <v>Barrière hors zone EUR</v>
      </c>
      <c r="G406" s="126" t="str">
        <f>IF(LEFT(A406,3)="vx_","vx",INDEX(Categorie,MATCH($A406,emprunts!$A$2:$A$149,0)))</f>
        <v>Struct</v>
      </c>
      <c r="H406">
        <v>2008</v>
      </c>
      <c r="I406">
        <f t="shared" si="47"/>
        <v>1</v>
      </c>
      <c r="N406" s="14">
        <v>10998754.630000001</v>
      </c>
      <c r="O406" s="14">
        <v>0</v>
      </c>
      <c r="Q406" s="14">
        <v>403233.22</v>
      </c>
      <c r="R406" s="14">
        <v>307801.33</v>
      </c>
      <c r="S406" s="14"/>
      <c r="T406" s="14">
        <v>0</v>
      </c>
      <c r="U406" s="14">
        <f>SUM(Q406:S406)</f>
        <v>711034.55</v>
      </c>
      <c r="V406" s="14">
        <f t="shared" si="51"/>
        <v>0</v>
      </c>
      <c r="X406" s="85">
        <f t="shared" si="48"/>
        <v>9761000</v>
      </c>
      <c r="Y406" s="21">
        <f t="shared" si="46"/>
        <v>1.4301331678246602E-2</v>
      </c>
      <c r="AA406" s="55">
        <f t="shared" si="52"/>
        <v>35351.949999999953</v>
      </c>
      <c r="AB406" s="55">
        <f t="shared" si="53"/>
        <v>207.33000000007451</v>
      </c>
      <c r="AC406" s="55">
        <f t="shared" si="49"/>
        <v>2471934.1383972601</v>
      </c>
    </row>
    <row r="407" spans="1:29">
      <c r="A407" t="s">
        <v>78</v>
      </c>
      <c r="B407" s="16" t="str">
        <f>INDEX(emprunts!C:C,MATCH($A407,emprunts!A:A,0))</f>
        <v>Dexia CL</v>
      </c>
      <c r="C407" s="18">
        <f>INDEX(emprunts!M:M,MATCH($A407,emprunts!$A:$A,0))</f>
        <v>37772</v>
      </c>
      <c r="D407" s="18">
        <f>IF(INDEX(emprunts!O:O,MATCH($A407,emprunts!$A:$A,0))="",INDEX(emprunts!N:N,MATCH($A407,emprunts!$A:$A,0)),MIN(INDEX(emprunts!N:N,MATCH($A407,emprunts!$A:$A,0)),INDEX(emprunts!O:O,MATCH($A407,emprunts!$A:$A,0))))</f>
        <v>38443</v>
      </c>
      <c r="E407" s="52">
        <f>INDEX(emprunts!I:I,MATCH($A407,emprunts!$A:$A,0))</f>
        <v>20</v>
      </c>
      <c r="F407" s="18" t="str">
        <f>INDEX(emprunts!P:P,MATCH($A407,emprunts!$A:$A,0))</f>
        <v>Barrière</v>
      </c>
      <c r="G407" s="126" t="str">
        <f>IF(LEFT(A407,3)="vx_","vx",INDEX(Categorie,MATCH($A407,emprunts!$A$2:$A$149,0)))</f>
        <v>Struct</v>
      </c>
      <c r="H407">
        <v>2008</v>
      </c>
      <c r="I407">
        <f t="shared" si="47"/>
        <v>1</v>
      </c>
      <c r="N407" s="14"/>
      <c r="O407" s="14"/>
      <c r="Q407" s="14"/>
      <c r="R407" s="14"/>
      <c r="S407" s="14"/>
      <c r="T407" s="14"/>
      <c r="U407" s="14"/>
      <c r="V407" s="14" t="str">
        <f t="shared" si="51"/>
        <v/>
      </c>
      <c r="X407" s="85">
        <f t="shared" si="48"/>
        <v>0</v>
      </c>
      <c r="Y407" s="21" t="str">
        <f t="shared" si="46"/>
        <v/>
      </c>
      <c r="AA407" s="55">
        <f t="shared" si="52"/>
        <v>0</v>
      </c>
      <c r="AB407" s="55">
        <f t="shared" si="53"/>
        <v>0</v>
      </c>
      <c r="AC407" s="55">
        <f t="shared" si="49"/>
        <v>0</v>
      </c>
    </row>
    <row r="408" spans="1:29">
      <c r="A408" t="s">
        <v>79</v>
      </c>
      <c r="B408" s="16" t="str">
        <f>INDEX(emprunts!C:C,MATCH($A408,emprunts!A:A,0))</f>
        <v>Caisse d'Épargne</v>
      </c>
      <c r="C408" s="18">
        <f>INDEX(emprunts!M:M,MATCH($A408,emprunts!$A:$A,0))</f>
        <v>37803</v>
      </c>
      <c r="D408" s="18">
        <f>IF(INDEX(emprunts!O:O,MATCH($A408,emprunts!$A:$A,0))="",INDEX(emprunts!N:N,MATCH($A408,emprunts!$A:$A,0)),MIN(INDEX(emprunts!N:N,MATCH($A408,emprunts!$A:$A,0)),INDEX(emprunts!O:O,MATCH($A408,emprunts!$A:$A,0))))</f>
        <v>38773</v>
      </c>
      <c r="E408" s="52">
        <f>INDEX(emprunts!I:I,MATCH($A408,emprunts!$A:$A,0))</f>
        <v>20</v>
      </c>
      <c r="F408" s="18" t="str">
        <f>INDEX(emprunts!P:P,MATCH($A408,emprunts!$A:$A,0))</f>
        <v>Barrière hors zone EUR</v>
      </c>
      <c r="G408" s="126" t="str">
        <f>IF(LEFT(A408,3)="vx_","vx",INDEX(Categorie,MATCH($A408,emprunts!$A$2:$A$149,0)))</f>
        <v>Struct</v>
      </c>
      <c r="H408">
        <v>2008</v>
      </c>
      <c r="I408">
        <f t="shared" si="47"/>
        <v>1</v>
      </c>
      <c r="N408" s="14"/>
      <c r="O408" s="14"/>
      <c r="Q408" s="14"/>
      <c r="R408" s="14"/>
      <c r="S408" s="14"/>
      <c r="T408" s="14"/>
      <c r="U408" s="14"/>
      <c r="V408" s="14" t="str">
        <f t="shared" si="51"/>
        <v/>
      </c>
      <c r="X408" s="85">
        <f t="shared" si="48"/>
        <v>0</v>
      </c>
      <c r="Y408" s="21" t="str">
        <f t="shared" si="46"/>
        <v/>
      </c>
      <c r="AA408" s="55">
        <f t="shared" si="52"/>
        <v>0</v>
      </c>
      <c r="AB408" s="55">
        <f t="shared" si="53"/>
        <v>0</v>
      </c>
      <c r="AC408" s="55">
        <f t="shared" si="49"/>
        <v>0</v>
      </c>
    </row>
    <row r="409" spans="1:29">
      <c r="A409" t="s">
        <v>84</v>
      </c>
      <c r="B409" s="16" t="str">
        <f>INDEX(emprunts!C:C,MATCH($A409,emprunts!A:A,0))</f>
        <v>Caisse d'Épargne</v>
      </c>
      <c r="C409" s="18">
        <f>INDEX(emprunts!M:M,MATCH($A409,emprunts!$A:$A,0))</f>
        <v>37865</v>
      </c>
      <c r="D409" s="18">
        <f>IF(INDEX(emprunts!O:O,MATCH($A409,emprunts!$A:$A,0))="",INDEX(emprunts!N:N,MATCH($A409,emprunts!$A:$A,0)),MIN(INDEX(emprunts!N:N,MATCH($A409,emprunts!$A:$A,0)),INDEX(emprunts!O:O,MATCH($A409,emprunts!$A:$A,0))))</f>
        <v>38961</v>
      </c>
      <c r="E409" s="52">
        <f>INDEX(emprunts!I:I,MATCH($A409,emprunts!$A:$A,0))</f>
        <v>3</v>
      </c>
      <c r="F409" s="18" t="str">
        <f>INDEX(emprunts!P:P,MATCH($A409,emprunts!$A:$A,0))</f>
        <v>Fixe</v>
      </c>
      <c r="G409" s="126" t="str">
        <f>IF(LEFT(A409,3)="vx_","vx",INDEX(Categorie,MATCH($A409,emprunts!$A$2:$A$149,0)))</f>
        <v>Non_st</v>
      </c>
      <c r="H409">
        <v>2008</v>
      </c>
      <c r="I409">
        <f t="shared" si="47"/>
        <v>1</v>
      </c>
      <c r="N409" s="14"/>
      <c r="O409" s="14"/>
      <c r="Q409" s="14"/>
      <c r="R409" s="14"/>
      <c r="S409" s="14"/>
      <c r="T409" s="14"/>
      <c r="U409" s="14"/>
      <c r="V409" s="14" t="str">
        <f t="shared" si="51"/>
        <v/>
      </c>
      <c r="X409" s="85">
        <f t="shared" si="48"/>
        <v>0</v>
      </c>
      <c r="Y409" s="21" t="str">
        <f t="shared" si="46"/>
        <v/>
      </c>
      <c r="AA409" s="55">
        <f t="shared" si="52"/>
        <v>0</v>
      </c>
      <c r="AB409" s="55">
        <f t="shared" si="53"/>
        <v>0</v>
      </c>
      <c r="AC409" s="55">
        <f t="shared" si="49"/>
        <v>0</v>
      </c>
    </row>
    <row r="410" spans="1:29">
      <c r="A410" t="s">
        <v>86</v>
      </c>
      <c r="B410" s="16" t="str">
        <f>INDEX(emprunts!C:C,MATCH($A410,emprunts!A:A,0))</f>
        <v>Caisse d'Épargne</v>
      </c>
      <c r="C410" s="18">
        <f>INDEX(emprunts!M:M,MATCH($A410,emprunts!$A:$A,0))</f>
        <v>38022</v>
      </c>
      <c r="D410" s="18">
        <f>IF(INDEX(emprunts!O:O,MATCH($A410,emprunts!$A:$A,0))="",INDEX(emprunts!N:N,MATCH($A410,emprunts!$A:$A,0)),MIN(INDEX(emprunts!N:N,MATCH($A410,emprunts!$A:$A,0)),INDEX(emprunts!O:O,MATCH($A410,emprunts!$A:$A,0))))</f>
        <v>40719</v>
      </c>
      <c r="E410" s="52">
        <f>INDEX(emprunts!I:I,MATCH($A410,emprunts!$A:$A,0))</f>
        <v>7</v>
      </c>
      <c r="F410" s="18" t="str">
        <f>INDEX(emprunts!P:P,MATCH($A410,emprunts!$A:$A,0))</f>
        <v>Fixe</v>
      </c>
      <c r="G410" s="126" t="str">
        <f>IF(LEFT(A410,3)="vx_","vx",INDEX(Categorie,MATCH($A410,emprunts!$A$2:$A$149,0)))</f>
        <v>Non_st</v>
      </c>
      <c r="H410">
        <v>2008</v>
      </c>
      <c r="I410">
        <f t="shared" si="47"/>
        <v>1</v>
      </c>
      <c r="N410" s="14">
        <v>4324063.92</v>
      </c>
      <c r="O410" s="14">
        <v>1733729</v>
      </c>
      <c r="Q410" s="14">
        <v>86254.35</v>
      </c>
      <c r="R410" s="14">
        <v>536122.34</v>
      </c>
      <c r="S410" s="14"/>
      <c r="T410" s="14">
        <v>34119.089999999997</v>
      </c>
      <c r="U410" s="14">
        <f>SUM(Q410:S410)</f>
        <v>622376.68999999994</v>
      </c>
      <c r="V410" s="14">
        <f t="shared" si="51"/>
        <v>0</v>
      </c>
      <c r="X410" s="85">
        <f t="shared" si="48"/>
        <v>0</v>
      </c>
      <c r="Y410" s="21">
        <f t="shared" si="46"/>
        <v>3.788222219115004E-2</v>
      </c>
      <c r="AA410" s="55">
        <f t="shared" si="52"/>
        <v>75832.260000000009</v>
      </c>
      <c r="AB410" s="55">
        <f t="shared" si="53"/>
        <v>0.33999999985098839</v>
      </c>
      <c r="AC410" s="55">
        <f t="shared" si="49"/>
        <v>2001790.17</v>
      </c>
    </row>
    <row r="411" spans="1:29">
      <c r="A411" t="s">
        <v>88</v>
      </c>
      <c r="B411" s="16" t="str">
        <f>INDEX(emprunts!C:C,MATCH($A411,emprunts!A:A,0))</f>
        <v>Dexia CL</v>
      </c>
      <c r="C411" s="18">
        <f>INDEX(emprunts!M:M,MATCH($A411,emprunts!$A:$A,0))</f>
        <v>38077</v>
      </c>
      <c r="D411" s="18">
        <f>IF(INDEX(emprunts!O:O,MATCH($A411,emprunts!$A:$A,0))="",INDEX(emprunts!N:N,MATCH($A411,emprunts!$A:$A,0)),MIN(INDEX(emprunts!N:N,MATCH($A411,emprunts!$A:$A,0)),INDEX(emprunts!O:O,MATCH($A411,emprunts!$A:$A,0))))</f>
        <v>39173</v>
      </c>
      <c r="E411" s="52">
        <f>INDEX(emprunts!I:I,MATCH($A411,emprunts!$A:$A,0))</f>
        <v>3</v>
      </c>
      <c r="F411" s="18" t="str">
        <f>INDEX(emprunts!P:P,MATCH($A411,emprunts!$A:$A,0))</f>
        <v>Fixe</v>
      </c>
      <c r="G411" s="126" t="str">
        <f>IF(LEFT(A411,3)="vx_","vx",INDEX(Categorie,MATCH($A411,emprunts!$A$2:$A$149,0)))</f>
        <v>Non_st</v>
      </c>
      <c r="H411">
        <v>2008</v>
      </c>
      <c r="I411">
        <f t="shared" si="47"/>
        <v>1</v>
      </c>
      <c r="N411" s="14"/>
      <c r="O411" s="14"/>
      <c r="Q411" s="14"/>
      <c r="R411" s="14"/>
      <c r="S411" s="14"/>
      <c r="T411" s="14"/>
      <c r="U411" s="14"/>
      <c r="V411" s="14" t="str">
        <f t="shared" si="51"/>
        <v/>
      </c>
      <c r="X411" s="85">
        <f t="shared" si="48"/>
        <v>0</v>
      </c>
      <c r="Y411" s="21" t="str">
        <f t="shared" ref="Y411:Y472" si="54">IF(AND(AA411&gt;0,YEAR(C411)&lt;=H411),AA411/AC411,"")</f>
        <v/>
      </c>
      <c r="AA411" s="55">
        <f t="shared" si="52"/>
        <v>0</v>
      </c>
      <c r="AB411" s="55">
        <f t="shared" si="53"/>
        <v>0</v>
      </c>
      <c r="AC411" s="55">
        <f t="shared" si="49"/>
        <v>0</v>
      </c>
    </row>
    <row r="412" spans="1:29">
      <c r="A412" t="s">
        <v>90</v>
      </c>
      <c r="B412" s="16" t="str">
        <f>INDEX(emprunts!C:C,MATCH($A412,emprunts!A:A,0))</f>
        <v>Dexia CL</v>
      </c>
      <c r="C412" s="18">
        <f>INDEX(emprunts!M:M,MATCH($A412,emprunts!$A:$A,0))</f>
        <v>38087</v>
      </c>
      <c r="D412" s="18">
        <f>IF(INDEX(emprunts!O:O,MATCH($A412,emprunts!$A:$A,0))="",INDEX(emprunts!N:N,MATCH($A412,emprunts!$A:$A,0)),MIN(INDEX(emprunts!N:N,MATCH($A412,emprunts!$A:$A,0)),INDEX(emprunts!O:O,MATCH($A412,emprunts!$A:$A,0))))</f>
        <v>38687</v>
      </c>
      <c r="E412" s="52">
        <f>INDEX(emprunts!I:I,MATCH($A412,emprunts!$A:$A,0))</f>
        <v>17.75</v>
      </c>
      <c r="F412" s="18" t="str">
        <f>INDEX(emprunts!P:P,MATCH($A412,emprunts!$A:$A,0))</f>
        <v>Barrière avec multiplicateur</v>
      </c>
      <c r="G412" s="126" t="str">
        <f>IF(LEFT(A412,3)="vx_","vx",INDEX(Categorie,MATCH($A412,emprunts!$A$2:$A$149,0)))</f>
        <v>Struct</v>
      </c>
      <c r="H412">
        <v>2008</v>
      </c>
      <c r="I412">
        <f t="shared" si="47"/>
        <v>1</v>
      </c>
      <c r="N412" s="14"/>
      <c r="O412" s="14"/>
      <c r="Q412" s="14"/>
      <c r="R412" s="14"/>
      <c r="S412" s="14"/>
      <c r="T412" s="14"/>
      <c r="U412" s="14"/>
      <c r="V412" s="14" t="str">
        <f t="shared" si="51"/>
        <v/>
      </c>
      <c r="X412" s="85">
        <f t="shared" si="48"/>
        <v>0</v>
      </c>
      <c r="Y412" s="21" t="str">
        <f t="shared" si="54"/>
        <v/>
      </c>
      <c r="AA412" s="55">
        <f t="shared" si="52"/>
        <v>0</v>
      </c>
      <c r="AB412" s="55">
        <f t="shared" si="53"/>
        <v>0</v>
      </c>
      <c r="AC412" s="55">
        <f t="shared" ref="AC412:AC472" si="55">MAX(0,(C412-DATE(H412,1,1))/365)*0+MAX(0,MIN(1,(MIN(DATE(H412,12,31),D412)-MAX(DATE(H412,1,1),C412))/365))*(O412+X412+R412/2)</f>
        <v>0</v>
      </c>
    </row>
    <row r="413" spans="1:29">
      <c r="A413" t="s">
        <v>96</v>
      </c>
      <c r="B413" s="16" t="str">
        <f>INDEX(emprunts!C:C,MATCH($A413,emprunts!A:A,0))</f>
        <v>Dexia CL</v>
      </c>
      <c r="C413" s="18">
        <f>INDEX(emprunts!M:M,MATCH($A413,emprunts!$A:$A,0))</f>
        <v>38087</v>
      </c>
      <c r="D413" s="18">
        <f>IF(INDEX(emprunts!O:O,MATCH($A413,emprunts!$A:$A,0))="",INDEX(emprunts!N:N,MATCH($A413,emprunts!$A:$A,0)),MIN(INDEX(emprunts!N:N,MATCH($A413,emprunts!$A:$A,0)),INDEX(emprunts!O:O,MATCH($A413,emprunts!$A:$A,0))))</f>
        <v>38534</v>
      </c>
      <c r="E413" s="52">
        <f>INDEX(emprunts!I:I,MATCH($A413,emprunts!$A:$A,0))</f>
        <v>15</v>
      </c>
      <c r="F413" s="18" t="str">
        <f>INDEX(emprunts!P:P,MATCH($A413,emprunts!$A:$A,0))</f>
        <v>Barrière hors zone EUR</v>
      </c>
      <c r="G413" s="126" t="str">
        <f>IF(LEFT(A413,3)="vx_","vx",INDEX(Categorie,MATCH($A413,emprunts!$A$2:$A$149,0)))</f>
        <v>Struct</v>
      </c>
      <c r="H413">
        <v>2008</v>
      </c>
      <c r="I413">
        <f t="shared" ref="I413:I472" si="56">1*(C413&lt;DATE(H413,12,31))</f>
        <v>1</v>
      </c>
      <c r="N413" s="14"/>
      <c r="O413" s="14"/>
      <c r="Q413" s="14"/>
      <c r="R413" s="14"/>
      <c r="S413" s="14"/>
      <c r="T413" s="14"/>
      <c r="U413" s="14"/>
      <c r="V413" s="14" t="str">
        <f t="shared" si="51"/>
        <v/>
      </c>
      <c r="X413" s="85">
        <f t="shared" ref="X413:X472" si="57">SUMPRODUCT((De=$A413)*(année_refi=$H413),Montant_transfere)</f>
        <v>0</v>
      </c>
      <c r="Y413" s="21" t="str">
        <f t="shared" si="54"/>
        <v/>
      </c>
      <c r="AA413" s="55">
        <f t="shared" si="52"/>
        <v>0</v>
      </c>
      <c r="AB413" s="55">
        <f t="shared" si="53"/>
        <v>0</v>
      </c>
      <c r="AC413" s="55">
        <f t="shared" si="55"/>
        <v>0</v>
      </c>
    </row>
    <row r="414" spans="1:29">
      <c r="A414" t="s">
        <v>98</v>
      </c>
      <c r="B414" s="16" t="str">
        <f>INDEX(emprunts!C:C,MATCH($A414,emprunts!A:A,0))</f>
        <v>Dexia CL</v>
      </c>
      <c r="C414" s="18">
        <f>INDEX(emprunts!M:M,MATCH($A414,emprunts!$A:$A,0))</f>
        <v>38092</v>
      </c>
      <c r="D414" s="18">
        <f>IF(INDEX(emprunts!O:O,MATCH($A414,emprunts!$A:$A,0))="",INDEX(emprunts!N:N,MATCH($A414,emprunts!$A:$A,0)),MIN(INDEX(emprunts!N:N,MATCH($A414,emprunts!$A:$A,0)),INDEX(emprunts!O:O,MATCH($A414,emprunts!$A:$A,0))))</f>
        <v>38443</v>
      </c>
      <c r="E414" s="52">
        <f>INDEX(emprunts!I:I,MATCH($A414,emprunts!$A:$A,0))</f>
        <v>15</v>
      </c>
      <c r="F414" s="18" t="str">
        <f>INDEX(emprunts!P:P,MATCH($A414,emprunts!$A:$A,0))</f>
        <v>Variable hors zone EUR</v>
      </c>
      <c r="G414" s="126" t="str">
        <f>IF(LEFT(A414,3)="vx_","vx",INDEX(Categorie,MATCH($A414,emprunts!$A$2:$A$149,0)))</f>
        <v>Struct</v>
      </c>
      <c r="H414">
        <v>2008</v>
      </c>
      <c r="I414">
        <f t="shared" si="56"/>
        <v>1</v>
      </c>
      <c r="N414" s="14"/>
      <c r="O414" s="14"/>
      <c r="Q414" s="14"/>
      <c r="R414" s="14"/>
      <c r="S414" s="14"/>
      <c r="T414" s="14"/>
      <c r="U414" s="14"/>
      <c r="V414" s="14" t="str">
        <f t="shared" si="51"/>
        <v/>
      </c>
      <c r="X414" s="85">
        <f t="shared" si="57"/>
        <v>0</v>
      </c>
      <c r="Y414" s="21" t="str">
        <f t="shared" si="54"/>
        <v/>
      </c>
      <c r="AA414" s="55">
        <f t="shared" si="52"/>
        <v>0</v>
      </c>
      <c r="AB414" s="55">
        <f t="shared" si="53"/>
        <v>0</v>
      </c>
      <c r="AC414" s="55">
        <f t="shared" si="55"/>
        <v>0</v>
      </c>
    </row>
    <row r="415" spans="1:29">
      <c r="A415" t="s">
        <v>101</v>
      </c>
      <c r="B415" s="16" t="str">
        <f>INDEX(emprunts!C:C,MATCH($A415,emprunts!A:A,0))</f>
        <v>Dexia CL</v>
      </c>
      <c r="C415" s="18">
        <f>INDEX(emprunts!M:M,MATCH($A415,emprunts!$A:$A,0))</f>
        <v>38106</v>
      </c>
      <c r="D415" s="18">
        <f>IF(INDEX(emprunts!O:O,MATCH($A415,emprunts!$A:$A,0))="",INDEX(emprunts!N:N,MATCH($A415,emprunts!$A:$A,0)),MIN(INDEX(emprunts!N:N,MATCH($A415,emprunts!$A:$A,0)),INDEX(emprunts!O:O,MATCH($A415,emprunts!$A:$A,0))))</f>
        <v>39203</v>
      </c>
      <c r="E415" s="52">
        <f>INDEX(emprunts!I:I,MATCH($A415,emprunts!$A:$A,0))</f>
        <v>21</v>
      </c>
      <c r="F415" s="18" t="str">
        <f>INDEX(emprunts!P:P,MATCH($A415,emprunts!$A:$A,0))</f>
        <v>Barrière</v>
      </c>
      <c r="G415" s="126" t="str">
        <f>IF(LEFT(A415,3)="vx_","vx",INDEX(Categorie,MATCH($A415,emprunts!$A$2:$A$149,0)))</f>
        <v>Struct</v>
      </c>
      <c r="H415">
        <v>2008</v>
      </c>
      <c r="I415">
        <f t="shared" si="56"/>
        <v>1</v>
      </c>
      <c r="N415" s="14"/>
      <c r="O415" s="14"/>
      <c r="Q415" s="14"/>
      <c r="R415" s="14"/>
      <c r="S415" s="14"/>
      <c r="T415" s="14"/>
      <c r="U415" s="14"/>
      <c r="V415" s="14" t="str">
        <f t="shared" si="51"/>
        <v/>
      </c>
      <c r="X415" s="85">
        <f t="shared" si="57"/>
        <v>0</v>
      </c>
      <c r="Y415" s="21" t="str">
        <f t="shared" si="54"/>
        <v/>
      </c>
      <c r="AA415" s="55">
        <f t="shared" si="52"/>
        <v>0</v>
      </c>
      <c r="AB415" s="55">
        <f t="shared" si="53"/>
        <v>0</v>
      </c>
      <c r="AC415" s="55">
        <f t="shared" si="55"/>
        <v>0</v>
      </c>
    </row>
    <row r="416" spans="1:29">
      <c r="A416" t="s">
        <v>105</v>
      </c>
      <c r="B416" s="16" t="str">
        <f>INDEX(emprunts!C:C,MATCH($A416,emprunts!A:A,0))</f>
        <v>Dexia CL</v>
      </c>
      <c r="C416" s="18">
        <f>INDEX(emprunts!M:M,MATCH($A416,emprunts!$A:$A,0))</f>
        <v>38153</v>
      </c>
      <c r="D416" s="18">
        <f>IF(INDEX(emprunts!O:O,MATCH($A416,emprunts!$A:$A,0))="",INDEX(emprunts!N:N,MATCH($A416,emprunts!$A:$A,0)),MIN(INDEX(emprunts!N:N,MATCH($A416,emprunts!$A:$A,0)),INDEX(emprunts!O:O,MATCH($A416,emprunts!$A:$A,0))))</f>
        <v>38384</v>
      </c>
      <c r="E416" s="52">
        <f>INDEX(emprunts!I:I,MATCH($A416,emprunts!$A:$A,0))</f>
        <v>10</v>
      </c>
      <c r="F416" s="18" t="str">
        <f>INDEX(emprunts!P:P,MATCH($A416,emprunts!$A:$A,0))</f>
        <v>Change</v>
      </c>
      <c r="G416" s="126" t="str">
        <f>IF(LEFT(A416,3)="vx_","vx",INDEX(Categorie,MATCH($A416,emprunts!$A$2:$A$149,0)))</f>
        <v>Struct</v>
      </c>
      <c r="H416">
        <v>2008</v>
      </c>
      <c r="I416">
        <f t="shared" si="56"/>
        <v>1</v>
      </c>
      <c r="N416" s="14"/>
      <c r="O416" s="14"/>
      <c r="Q416" s="14"/>
      <c r="R416" s="14"/>
      <c r="S416" s="14"/>
      <c r="T416" s="14"/>
      <c r="U416" s="14"/>
      <c r="V416" s="14" t="str">
        <f t="shared" si="51"/>
        <v/>
      </c>
      <c r="X416" s="85">
        <f t="shared" si="57"/>
        <v>0</v>
      </c>
      <c r="Y416" s="21" t="str">
        <f t="shared" si="54"/>
        <v/>
      </c>
      <c r="AA416" s="55">
        <f t="shared" si="52"/>
        <v>0</v>
      </c>
      <c r="AB416" s="55">
        <f t="shared" si="53"/>
        <v>0</v>
      </c>
      <c r="AC416" s="55">
        <f t="shared" si="55"/>
        <v>0</v>
      </c>
    </row>
    <row r="417" spans="1:29">
      <c r="A417" t="s">
        <v>108</v>
      </c>
      <c r="B417" s="16" t="str">
        <f>INDEX(emprunts!C:C,MATCH($A417,emprunts!A:A,0))</f>
        <v>Dexia CL</v>
      </c>
      <c r="C417" s="18">
        <f>INDEX(emprunts!M:M,MATCH($A417,emprunts!$A:$A,0))</f>
        <v>38193</v>
      </c>
      <c r="D417" s="18">
        <f>IF(INDEX(emprunts!O:O,MATCH($A417,emprunts!$A:$A,0))="",INDEX(emprunts!N:N,MATCH($A417,emprunts!$A:$A,0)),MIN(INDEX(emprunts!N:N,MATCH($A417,emprunts!$A:$A,0)),INDEX(emprunts!O:O,MATCH($A417,emprunts!$A:$A,0))))</f>
        <v>38777</v>
      </c>
      <c r="E417" s="52">
        <f>INDEX(emprunts!I:I,MATCH($A417,emprunts!$A:$A,0))</f>
        <v>18</v>
      </c>
      <c r="F417" s="18" t="str">
        <f>INDEX(emprunts!P:P,MATCH($A417,emprunts!$A:$A,0))</f>
        <v>Pente</v>
      </c>
      <c r="G417" s="126" t="str">
        <f>IF(LEFT(A417,3)="vx_","vx",INDEX(Categorie,MATCH($A417,emprunts!$A$2:$A$149,0)))</f>
        <v>Struct</v>
      </c>
      <c r="H417">
        <v>2008</v>
      </c>
      <c r="I417">
        <f t="shared" si="56"/>
        <v>1</v>
      </c>
      <c r="N417" s="14"/>
      <c r="O417" s="14"/>
      <c r="Q417" s="14"/>
      <c r="R417" s="14"/>
      <c r="S417" s="14"/>
      <c r="T417" s="14"/>
      <c r="U417" s="14"/>
      <c r="V417" s="14" t="str">
        <f t="shared" si="51"/>
        <v/>
      </c>
      <c r="X417" s="85">
        <f t="shared" si="57"/>
        <v>0</v>
      </c>
      <c r="Y417" s="21" t="str">
        <f t="shared" si="54"/>
        <v/>
      </c>
      <c r="AA417" s="55">
        <f t="shared" si="52"/>
        <v>0</v>
      </c>
      <c r="AB417" s="55">
        <f t="shared" si="53"/>
        <v>0</v>
      </c>
      <c r="AC417" s="55">
        <f t="shared" si="55"/>
        <v>0</v>
      </c>
    </row>
    <row r="418" spans="1:29">
      <c r="A418" t="s">
        <v>114</v>
      </c>
      <c r="B418" s="16" t="str">
        <f>INDEX(emprunts!C:C,MATCH($A418,emprunts!A:A,0))</f>
        <v>Dexia CL</v>
      </c>
      <c r="C418" s="18">
        <f>INDEX(emprunts!M:M,MATCH($A418,emprunts!$A:$A,0))</f>
        <v>38384</v>
      </c>
      <c r="D418" s="18">
        <f>IF(INDEX(emprunts!O:O,MATCH($A418,emprunts!$A:$A,0))="",INDEX(emprunts!N:N,MATCH($A418,emprunts!$A:$A,0)),MIN(INDEX(emprunts!N:N,MATCH($A418,emprunts!$A:$A,0)),INDEX(emprunts!O:O,MATCH($A418,emprunts!$A:$A,0))))</f>
        <v>39263</v>
      </c>
      <c r="E418" s="52">
        <f>INDEX(emprunts!I:I,MATCH($A418,emprunts!$A:$A,0))</f>
        <v>15</v>
      </c>
      <c r="F418" s="18" t="str">
        <f>INDEX(emprunts!P:P,MATCH($A418,emprunts!$A:$A,0))</f>
        <v>Change</v>
      </c>
      <c r="G418" s="126" t="str">
        <f>IF(LEFT(A418,3)="vx_","vx",INDEX(Categorie,MATCH($A418,emprunts!$A$2:$A$149,0)))</f>
        <v>Struct</v>
      </c>
      <c r="H418">
        <v>2008</v>
      </c>
      <c r="I418">
        <f t="shared" si="56"/>
        <v>1</v>
      </c>
      <c r="N418" s="14"/>
      <c r="O418" s="14"/>
      <c r="Q418" s="14"/>
      <c r="R418" s="14"/>
      <c r="S418" s="14"/>
      <c r="T418" s="14"/>
      <c r="U418" s="14"/>
      <c r="V418" s="14" t="str">
        <f t="shared" si="51"/>
        <v/>
      </c>
      <c r="X418" s="85">
        <f t="shared" si="57"/>
        <v>0</v>
      </c>
      <c r="Y418" s="21" t="str">
        <f t="shared" si="54"/>
        <v/>
      </c>
      <c r="AA418" s="55">
        <f t="shared" si="52"/>
        <v>0</v>
      </c>
      <c r="AB418" s="55">
        <f t="shared" si="53"/>
        <v>0</v>
      </c>
      <c r="AC418" s="55">
        <f t="shared" si="55"/>
        <v>0</v>
      </c>
    </row>
    <row r="419" spans="1:29">
      <c r="A419" t="s">
        <v>117</v>
      </c>
      <c r="B419" s="16" t="str">
        <f>INDEX(emprunts!C:C,MATCH($A419,emprunts!A:A,0))</f>
        <v>Dexia CL</v>
      </c>
      <c r="C419" s="18">
        <f>INDEX(emprunts!M:M,MATCH($A419,emprunts!$A:$A,0))</f>
        <v>38406</v>
      </c>
      <c r="D419" s="18">
        <f>IF(INDEX(emprunts!O:O,MATCH($A419,emprunts!$A:$A,0))="",INDEX(emprunts!N:N,MATCH($A419,emprunts!$A:$A,0)),MIN(INDEX(emprunts!N:N,MATCH($A419,emprunts!$A:$A,0)),INDEX(emprunts!O:O,MATCH($A419,emprunts!$A:$A,0))))</f>
        <v>39114</v>
      </c>
      <c r="E419" s="52">
        <f>INDEX(emprunts!I:I,MATCH($A419,emprunts!$A:$A,0))</f>
        <v>17</v>
      </c>
      <c r="F419" s="18" t="str">
        <f>INDEX(emprunts!P:P,MATCH($A419,emprunts!$A:$A,0))</f>
        <v>Barrière avec multiplicateur</v>
      </c>
      <c r="G419" s="126" t="str">
        <f>IF(LEFT(A419,3)="vx_","vx",INDEX(Categorie,MATCH($A419,emprunts!$A$2:$A$149,0)))</f>
        <v>Struct</v>
      </c>
      <c r="H419">
        <v>2008</v>
      </c>
      <c r="I419">
        <f t="shared" si="56"/>
        <v>1</v>
      </c>
      <c r="N419" s="14"/>
      <c r="O419" s="14"/>
      <c r="Q419" s="14"/>
      <c r="R419" s="14"/>
      <c r="S419" s="14"/>
      <c r="T419" s="14"/>
      <c r="U419" s="14"/>
      <c r="V419" s="14" t="str">
        <f t="shared" si="51"/>
        <v/>
      </c>
      <c r="X419" s="85">
        <f t="shared" si="57"/>
        <v>0</v>
      </c>
      <c r="Y419" s="21" t="str">
        <f t="shared" si="54"/>
        <v/>
      </c>
      <c r="AA419" s="55">
        <f t="shared" si="52"/>
        <v>0</v>
      </c>
      <c r="AB419" s="55">
        <f t="shared" si="53"/>
        <v>0</v>
      </c>
      <c r="AC419" s="55">
        <f t="shared" si="55"/>
        <v>0</v>
      </c>
    </row>
    <row r="420" spans="1:29">
      <c r="A420" t="s">
        <v>121</v>
      </c>
      <c r="B420" s="16" t="str">
        <f>INDEX(emprunts!C:C,MATCH($A420,emprunts!A:A,0))</f>
        <v>Dexia CL</v>
      </c>
      <c r="C420" s="18">
        <f>INDEX(emprunts!M:M,MATCH($A420,emprunts!$A:$A,0))</f>
        <v>38406</v>
      </c>
      <c r="D420" s="18">
        <f>IF(INDEX(emprunts!O:O,MATCH($A420,emprunts!$A:$A,0))="",INDEX(emprunts!N:N,MATCH($A420,emprunts!$A:$A,0)),MIN(INDEX(emprunts!N:N,MATCH($A420,emprunts!$A:$A,0)),INDEX(emprunts!O:O,MATCH($A420,emprunts!$A:$A,0))))</f>
        <v>39203</v>
      </c>
      <c r="E420" s="52">
        <f>INDEX(emprunts!I:I,MATCH($A420,emprunts!$A:$A,0))</f>
        <v>15</v>
      </c>
      <c r="F420" s="18" t="str">
        <f>INDEX(emprunts!P:P,MATCH($A420,emprunts!$A:$A,0))</f>
        <v>Variable hors zone EUR</v>
      </c>
      <c r="G420" s="126" t="str">
        <f>IF(LEFT(A420,3)="vx_","vx",INDEX(Categorie,MATCH($A420,emprunts!$A$2:$A$149,0)))</f>
        <v>Struct</v>
      </c>
      <c r="H420">
        <v>2008</v>
      </c>
      <c r="I420">
        <f t="shared" si="56"/>
        <v>1</v>
      </c>
      <c r="N420" s="14"/>
      <c r="O420" s="14"/>
      <c r="Q420" s="14"/>
      <c r="R420" s="14"/>
      <c r="S420" s="14"/>
      <c r="T420" s="14"/>
      <c r="U420" s="14"/>
      <c r="V420" s="14" t="str">
        <f t="shared" si="51"/>
        <v/>
      </c>
      <c r="X420" s="85">
        <f t="shared" si="57"/>
        <v>0</v>
      </c>
      <c r="Y420" s="21" t="str">
        <f t="shared" si="54"/>
        <v/>
      </c>
      <c r="AA420" s="55">
        <f t="shared" si="52"/>
        <v>0</v>
      </c>
      <c r="AB420" s="55">
        <f t="shared" si="53"/>
        <v>0</v>
      </c>
      <c r="AC420" s="55">
        <f t="shared" si="55"/>
        <v>0</v>
      </c>
    </row>
    <row r="421" spans="1:29">
      <c r="A421" t="s">
        <v>123</v>
      </c>
      <c r="B421" s="16" t="str">
        <f>INDEX(emprunts!C:C,MATCH($A421,emprunts!A:A,0))</f>
        <v>Crédit Mutuel</v>
      </c>
      <c r="C421" s="18">
        <f>INDEX(emprunts!M:M,MATCH($A421,emprunts!$A:$A,0))</f>
        <v>38435</v>
      </c>
      <c r="D421" s="18">
        <f>IF(INDEX(emprunts!O:O,MATCH($A421,emprunts!$A:$A,0))="",INDEX(emprunts!N:N,MATCH($A421,emprunts!$A:$A,0)),MIN(INDEX(emprunts!N:N,MATCH($A421,emprunts!$A:$A,0)),INDEX(emprunts!O:O,MATCH($A421,emprunts!$A:$A,0))))</f>
        <v>40260</v>
      </c>
      <c r="E421" s="52">
        <f>INDEX(emprunts!I:I,MATCH($A421,emprunts!$A:$A,0))</f>
        <v>5</v>
      </c>
      <c r="F421" s="18" t="str">
        <f>INDEX(emprunts!P:P,MATCH($A421,emprunts!$A:$A,0))</f>
        <v>Fixe</v>
      </c>
      <c r="G421" s="126" t="str">
        <f>IF(LEFT(A421,3)="vx_","vx",INDEX(Categorie,MATCH($A421,emprunts!$A$2:$A$149,0)))</f>
        <v>Non_st</v>
      </c>
      <c r="H421">
        <v>2008</v>
      </c>
      <c r="I421">
        <f t="shared" si="56"/>
        <v>1</v>
      </c>
      <c r="N421" s="14">
        <v>1808556.04</v>
      </c>
      <c r="O421" s="14">
        <v>755323</v>
      </c>
      <c r="Q421" s="14">
        <v>33166.71</v>
      </c>
      <c r="R421" s="14">
        <v>361401.56</v>
      </c>
      <c r="S421" s="14"/>
      <c r="T421" s="14">
        <v>18816.830000000002</v>
      </c>
      <c r="U421" s="14">
        <f>SUM(Q421:S421)</f>
        <v>394568.27</v>
      </c>
      <c r="V421" s="14">
        <f t="shared" si="51"/>
        <v>0</v>
      </c>
      <c r="X421" s="85">
        <f t="shared" si="57"/>
        <v>0</v>
      </c>
      <c r="Y421" s="21">
        <f t="shared" si="54"/>
        <v>2.5830561697909E-2</v>
      </c>
      <c r="AA421" s="55">
        <f t="shared" si="52"/>
        <v>24178.02</v>
      </c>
      <c r="AB421" s="55">
        <f t="shared" si="53"/>
        <v>0.56000000005587935</v>
      </c>
      <c r="AC421" s="55">
        <f t="shared" si="55"/>
        <v>936023.78</v>
      </c>
    </row>
    <row r="422" spans="1:29">
      <c r="A422" t="s">
        <v>125</v>
      </c>
      <c r="B422" s="16" t="str">
        <f>INDEX(emprunts!C:C,MATCH($A422,emprunts!A:A,0))</f>
        <v>Dexia CL</v>
      </c>
      <c r="C422" s="18">
        <f>INDEX(emprunts!M:M,MATCH($A422,emprunts!$A:$A,0))</f>
        <v>38443</v>
      </c>
      <c r="D422" s="18">
        <f>IF(INDEX(emprunts!O:O,MATCH($A422,emprunts!$A:$A,0))="",INDEX(emprunts!N:N,MATCH($A422,emprunts!$A:$A,0)),MIN(INDEX(emprunts!N:N,MATCH($A422,emprunts!$A:$A,0)),INDEX(emprunts!O:O,MATCH($A422,emprunts!$A:$A,0))))</f>
        <v>38899</v>
      </c>
      <c r="E422" s="52">
        <f>INDEX(emprunts!I:I,MATCH($A422,emprunts!$A:$A,0))</f>
        <v>19</v>
      </c>
      <c r="F422" s="18" t="str">
        <f>INDEX(emprunts!P:P,MATCH($A422,emprunts!$A:$A,0))</f>
        <v>Change</v>
      </c>
      <c r="G422" s="126" t="str">
        <f>IF(LEFT(A422,3)="vx_","vx",INDEX(Categorie,MATCH($A422,emprunts!$A$2:$A$149,0)))</f>
        <v>Struct</v>
      </c>
      <c r="H422">
        <v>2008</v>
      </c>
      <c r="I422">
        <f t="shared" si="56"/>
        <v>1</v>
      </c>
      <c r="N422" s="14"/>
      <c r="O422" s="14"/>
      <c r="Q422" s="14"/>
      <c r="R422" s="14"/>
      <c r="S422" s="14"/>
      <c r="T422" s="14"/>
      <c r="U422" s="14"/>
      <c r="V422" s="14" t="str">
        <f t="shared" si="51"/>
        <v/>
      </c>
      <c r="X422" s="85">
        <f t="shared" si="57"/>
        <v>0</v>
      </c>
      <c r="Y422" s="21" t="str">
        <f t="shared" si="54"/>
        <v/>
      </c>
      <c r="AA422" s="55">
        <f t="shared" si="52"/>
        <v>0</v>
      </c>
      <c r="AB422" s="55">
        <f t="shared" si="53"/>
        <v>0</v>
      </c>
      <c r="AC422" s="55">
        <f t="shared" si="55"/>
        <v>0</v>
      </c>
    </row>
    <row r="423" spans="1:29">
      <c r="A423" t="s">
        <v>180</v>
      </c>
      <c r="B423" s="16" t="str">
        <f>INDEX(emprunts!C:C,MATCH($A423,emprunts!A:A,0))</f>
        <v>Dexia CL</v>
      </c>
      <c r="C423" s="18">
        <f>INDEX(emprunts!M:M,MATCH($A423,emprunts!$A:$A,0))</f>
        <v>38443</v>
      </c>
      <c r="D423" s="18">
        <f>IF(INDEX(emprunts!O:O,MATCH($A423,emprunts!$A:$A,0))="",INDEX(emprunts!N:N,MATCH($A423,emprunts!$A:$A,0)),MIN(INDEX(emprunts!N:N,MATCH($A423,emprunts!$A:$A,0)),INDEX(emprunts!O:O,MATCH($A423,emprunts!$A:$A,0))))</f>
        <v>39203</v>
      </c>
      <c r="E423" s="52">
        <f>INDEX(emprunts!I:I,MATCH($A423,emprunts!$A:$A,0))</f>
        <v>15</v>
      </c>
      <c r="F423" s="18" t="str">
        <f>INDEX(emprunts!P:P,MATCH($A423,emprunts!$A:$A,0))</f>
        <v>Change</v>
      </c>
      <c r="G423" s="126" t="str">
        <f>IF(LEFT(A423,3)="vx_","vx",INDEX(Categorie,MATCH($A423,emprunts!$A$2:$A$149,0)))</f>
        <v>Struct</v>
      </c>
      <c r="H423">
        <v>2008</v>
      </c>
      <c r="I423">
        <f t="shared" si="56"/>
        <v>1</v>
      </c>
      <c r="N423" s="14"/>
      <c r="O423" s="14"/>
      <c r="Q423" s="14"/>
      <c r="R423" s="14"/>
      <c r="S423" s="14"/>
      <c r="T423" s="14"/>
      <c r="U423" s="14"/>
      <c r="V423" s="14" t="str">
        <f t="shared" si="51"/>
        <v/>
      </c>
      <c r="X423" s="85">
        <f t="shared" si="57"/>
        <v>0</v>
      </c>
      <c r="Y423" s="21" t="str">
        <f t="shared" si="54"/>
        <v/>
      </c>
      <c r="AA423" s="55">
        <f t="shared" si="52"/>
        <v>0</v>
      </c>
      <c r="AB423" s="55">
        <f t="shared" si="53"/>
        <v>0</v>
      </c>
      <c r="AC423" s="55">
        <f t="shared" si="55"/>
        <v>0</v>
      </c>
    </row>
    <row r="424" spans="1:29">
      <c r="A424" t="s">
        <v>183</v>
      </c>
      <c r="B424" s="16" t="str">
        <f>INDEX(emprunts!C:C,MATCH($A424,emprunts!A:A,0))</f>
        <v>CDC</v>
      </c>
      <c r="C424" s="18">
        <f>INDEX(emprunts!M:M,MATCH($A424,emprunts!$A:$A,0))</f>
        <v>38473</v>
      </c>
      <c r="D424" s="18">
        <f>IF(INDEX(emprunts!O:O,MATCH($A424,emprunts!$A:$A,0))="",INDEX(emprunts!N:N,MATCH($A424,emprunts!$A:$A,0)),MIN(INDEX(emprunts!N:N,MATCH($A424,emprunts!$A:$A,0)),INDEX(emprunts!O:O,MATCH($A424,emprunts!$A:$A,0))))</f>
        <v>40663</v>
      </c>
      <c r="E424" s="52">
        <f>INDEX(emprunts!I:I,MATCH($A424,emprunts!$A:$A,0))</f>
        <v>6</v>
      </c>
      <c r="F424" s="18" t="str">
        <f>INDEX(emprunts!P:P,MATCH($A424,emprunts!$A:$A,0))</f>
        <v>Variable</v>
      </c>
      <c r="G424" s="126" t="str">
        <f>IF(LEFT(A424,3)="vx_","vx",INDEX(Categorie,MATCH($A424,emprunts!$A$2:$A$149,0)))</f>
        <v>Non_st</v>
      </c>
      <c r="H424">
        <v>2008</v>
      </c>
      <c r="I424">
        <f t="shared" si="56"/>
        <v>1</v>
      </c>
      <c r="N424" s="14"/>
      <c r="O424" s="14"/>
      <c r="Q424" s="14"/>
      <c r="R424" s="14"/>
      <c r="S424" s="14"/>
      <c r="T424" s="14"/>
      <c r="U424" s="14"/>
      <c r="V424" s="14" t="str">
        <f t="shared" si="51"/>
        <v/>
      </c>
      <c r="X424" s="85">
        <f t="shared" si="57"/>
        <v>0</v>
      </c>
      <c r="Y424" s="21" t="str">
        <f t="shared" si="54"/>
        <v/>
      </c>
      <c r="AA424" s="55">
        <f t="shared" si="52"/>
        <v>0</v>
      </c>
      <c r="AB424" s="55">
        <f t="shared" si="53"/>
        <v>0</v>
      </c>
      <c r="AC424" s="55">
        <f t="shared" si="55"/>
        <v>0</v>
      </c>
    </row>
    <row r="425" spans="1:29">
      <c r="A425" t="s">
        <v>185</v>
      </c>
      <c r="B425" s="16" t="str">
        <f>INDEX(emprunts!C:C,MATCH($A425,emprunts!A:A,0))</f>
        <v>CDC</v>
      </c>
      <c r="C425" s="18">
        <f>INDEX(emprunts!M:M,MATCH($A425,emprunts!$A:$A,0))</f>
        <v>38473</v>
      </c>
      <c r="D425" s="18">
        <f>IF(INDEX(emprunts!O:O,MATCH($A425,emprunts!$A:$A,0))="",INDEX(emprunts!N:N,MATCH($A425,emprunts!$A:$A,0)),MIN(INDEX(emprunts!N:N,MATCH($A425,emprunts!$A:$A,0)),INDEX(emprunts!O:O,MATCH($A425,emprunts!$A:$A,0))))</f>
        <v>41393</v>
      </c>
      <c r="E425" s="52">
        <f>INDEX(emprunts!I:I,MATCH($A425,emprunts!$A:$A,0))</f>
        <v>8</v>
      </c>
      <c r="F425" s="18" t="str">
        <f>INDEX(emprunts!P:P,MATCH($A425,emprunts!$A:$A,0))</f>
        <v>Variable</v>
      </c>
      <c r="G425" s="126" t="str">
        <f>IF(LEFT(A425,3)="vx_","vx",INDEX(Categorie,MATCH($A425,emprunts!$A$2:$A$149,0)))</f>
        <v>Non_st</v>
      </c>
      <c r="H425">
        <v>2008</v>
      </c>
      <c r="I425">
        <f t="shared" si="56"/>
        <v>1</v>
      </c>
      <c r="N425" s="14">
        <v>3425073.34</v>
      </c>
      <c r="O425" s="14">
        <v>2215791</v>
      </c>
      <c r="Q425" s="14">
        <v>118861.26</v>
      </c>
      <c r="R425" s="14">
        <v>412642.15</v>
      </c>
      <c r="S425" s="14"/>
      <c r="T425" s="14">
        <v>76667.61</v>
      </c>
      <c r="U425" s="14">
        <f>SUM(Q425:S425)</f>
        <v>531503.41</v>
      </c>
      <c r="V425" s="14">
        <f t="shared" si="51"/>
        <v>0</v>
      </c>
      <c r="X425" s="85">
        <f t="shared" si="57"/>
        <v>0</v>
      </c>
      <c r="Y425" s="21">
        <f t="shared" si="54"/>
        <v>4.8011002959060016E-2</v>
      </c>
      <c r="AA425" s="55">
        <f t="shared" si="52"/>
        <v>116288.03</v>
      </c>
      <c r="AB425" s="55">
        <f t="shared" si="53"/>
        <v>0.14999999990686774</v>
      </c>
      <c r="AC425" s="55">
        <f t="shared" si="55"/>
        <v>2422112.0750000002</v>
      </c>
    </row>
    <row r="426" spans="1:29">
      <c r="A426" t="s">
        <v>186</v>
      </c>
      <c r="B426" s="16" t="str">
        <f>INDEX(emprunts!C:C,MATCH($A426,emprunts!A:A,0))</f>
        <v>Dexia CL</v>
      </c>
      <c r="C426" s="18">
        <f>INDEX(emprunts!M:M,MATCH($A426,emprunts!$A:$A,0))</f>
        <v>38504</v>
      </c>
      <c r="D426" s="18">
        <f>IF(INDEX(emprunts!O:O,MATCH($A426,emprunts!$A:$A,0))="",INDEX(emprunts!N:N,MATCH($A426,emprunts!$A:$A,0)),MIN(INDEX(emprunts!N:N,MATCH($A426,emprunts!$A:$A,0)),INDEX(emprunts!O:O,MATCH($A426,emprunts!$A:$A,0))))</f>
        <v>38805</v>
      </c>
      <c r="E426" s="52">
        <f>INDEX(emprunts!I:I,MATCH($A426,emprunts!$A:$A,0))</f>
        <v>17.25</v>
      </c>
      <c r="F426" s="18" t="str">
        <f>INDEX(emprunts!P:P,MATCH($A426,emprunts!$A:$A,0))</f>
        <v>Change</v>
      </c>
      <c r="G426" s="126" t="str">
        <f>IF(LEFT(A426,3)="vx_","vx",INDEX(Categorie,MATCH($A426,emprunts!$A$2:$A$149,0)))</f>
        <v>Struct</v>
      </c>
      <c r="H426">
        <v>2008</v>
      </c>
      <c r="I426">
        <f t="shared" si="56"/>
        <v>1</v>
      </c>
      <c r="N426" s="14"/>
      <c r="O426" s="14"/>
      <c r="Q426" s="14"/>
      <c r="R426" s="14"/>
      <c r="S426" s="14"/>
      <c r="T426" s="14"/>
      <c r="U426" s="14"/>
      <c r="V426" s="14" t="str">
        <f t="shared" si="51"/>
        <v/>
      </c>
      <c r="X426" s="85">
        <f t="shared" si="57"/>
        <v>0</v>
      </c>
      <c r="Y426" s="21" t="str">
        <f t="shared" si="54"/>
        <v/>
      </c>
      <c r="AA426" s="55">
        <f t="shared" si="52"/>
        <v>0</v>
      </c>
      <c r="AB426" s="55">
        <f t="shared" si="53"/>
        <v>0</v>
      </c>
      <c r="AC426" s="55">
        <f t="shared" si="55"/>
        <v>0</v>
      </c>
    </row>
    <row r="427" spans="1:29">
      <c r="A427" t="s">
        <v>187</v>
      </c>
      <c r="B427" s="16" t="str">
        <f>INDEX(emprunts!C:C,MATCH($A427,emprunts!A:A,0))</f>
        <v>Dexia CL</v>
      </c>
      <c r="C427" s="18">
        <f>INDEX(emprunts!M:M,MATCH($A427,emprunts!$A:$A,0))</f>
        <v>38534</v>
      </c>
      <c r="D427" s="18">
        <f>IF(INDEX(emprunts!O:O,MATCH($A427,emprunts!$A:$A,0))="",INDEX(emprunts!N:N,MATCH($A427,emprunts!$A:$A,0)),MIN(INDEX(emprunts!N:N,MATCH($A427,emprunts!$A:$A,0)),INDEX(emprunts!O:O,MATCH($A427,emprunts!$A:$A,0))))</f>
        <v>38899</v>
      </c>
      <c r="E427" s="52">
        <f>INDEX(emprunts!I:I,MATCH($A427,emprunts!$A:$A,0))</f>
        <v>16</v>
      </c>
      <c r="F427" s="18" t="str">
        <f>INDEX(emprunts!P:P,MATCH($A427,emprunts!$A:$A,0))</f>
        <v>Pente</v>
      </c>
      <c r="G427" s="126" t="str">
        <f>IF(LEFT(A427,3)="vx_","vx",INDEX(Categorie,MATCH($A427,emprunts!$A$2:$A$149,0)))</f>
        <v>Struct</v>
      </c>
      <c r="H427">
        <v>2008</v>
      </c>
      <c r="I427">
        <f t="shared" si="56"/>
        <v>1</v>
      </c>
      <c r="N427" s="14"/>
      <c r="O427" s="14"/>
      <c r="Q427" s="14"/>
      <c r="R427" s="14"/>
      <c r="S427" s="14"/>
      <c r="T427" s="14"/>
      <c r="U427" s="14"/>
      <c r="V427" s="14" t="str">
        <f t="shared" si="51"/>
        <v/>
      </c>
      <c r="X427" s="85">
        <f t="shared" si="57"/>
        <v>0</v>
      </c>
      <c r="Y427" s="21" t="str">
        <f t="shared" si="54"/>
        <v/>
      </c>
      <c r="AA427" s="55">
        <f t="shared" si="52"/>
        <v>0</v>
      </c>
      <c r="AB427" s="55">
        <f t="shared" si="53"/>
        <v>0</v>
      </c>
      <c r="AC427" s="55">
        <f t="shared" si="55"/>
        <v>0</v>
      </c>
    </row>
    <row r="428" spans="1:29">
      <c r="A428" t="s">
        <v>193</v>
      </c>
      <c r="B428" s="16" t="str">
        <f>INDEX(emprunts!C:C,MATCH($A428,emprunts!A:A,0))</f>
        <v>Dexia CL</v>
      </c>
      <c r="C428" s="18">
        <f>INDEX(emprunts!M:M,MATCH($A428,emprunts!$A:$A,0))</f>
        <v>38687</v>
      </c>
      <c r="D428" s="18">
        <f>IF(INDEX(emprunts!O:O,MATCH($A428,emprunts!$A:$A,0))="",INDEX(emprunts!N:N,MATCH($A428,emprunts!$A:$A,0)),MIN(INDEX(emprunts!N:N,MATCH($A428,emprunts!$A:$A,0)),INDEX(emprunts!O:O,MATCH($A428,emprunts!$A:$A,0))))</f>
        <v>38805</v>
      </c>
      <c r="E428" s="52">
        <f>INDEX(emprunts!I:I,MATCH($A428,emprunts!$A:$A,0))</f>
        <v>16</v>
      </c>
      <c r="F428" s="18" t="str">
        <f>INDEX(emprunts!P:P,MATCH($A428,emprunts!$A:$A,0))</f>
        <v>Pente</v>
      </c>
      <c r="G428" s="126" t="str">
        <f>IF(LEFT(A428,3)="vx_","vx",INDEX(Categorie,MATCH($A428,emprunts!$A$2:$A$149,0)))</f>
        <v>Struct</v>
      </c>
      <c r="H428">
        <v>2008</v>
      </c>
      <c r="I428">
        <f t="shared" si="56"/>
        <v>1</v>
      </c>
      <c r="N428" s="14"/>
      <c r="O428" s="14"/>
      <c r="Q428" s="14"/>
      <c r="R428" s="14"/>
      <c r="S428" s="14"/>
      <c r="T428" s="14"/>
      <c r="U428" s="14"/>
      <c r="V428" s="14" t="str">
        <f t="shared" si="51"/>
        <v/>
      </c>
      <c r="X428" s="85">
        <f t="shared" si="57"/>
        <v>0</v>
      </c>
      <c r="Y428" s="21" t="str">
        <f t="shared" si="54"/>
        <v/>
      </c>
      <c r="AA428" s="55">
        <f t="shared" si="52"/>
        <v>0</v>
      </c>
      <c r="AB428" s="55">
        <f t="shared" si="53"/>
        <v>0</v>
      </c>
      <c r="AC428" s="55">
        <f t="shared" si="55"/>
        <v>0</v>
      </c>
    </row>
    <row r="429" spans="1:29">
      <c r="A429" t="s">
        <v>195</v>
      </c>
      <c r="B429" s="16" t="str">
        <f>INDEX(emprunts!C:C,MATCH($A429,emprunts!A:A,0))</f>
        <v>Dexia CL</v>
      </c>
      <c r="C429" s="18">
        <f>INDEX(emprunts!M:M,MATCH($A429,emprunts!$A:$A,0))</f>
        <v>38709</v>
      </c>
      <c r="D429" s="18">
        <f>IF(INDEX(emprunts!O:O,MATCH($A429,emprunts!$A:$A,0))="",INDEX(emprunts!N:N,MATCH($A429,emprunts!$A:$A,0)),MIN(INDEX(emprunts!N:N,MATCH($A429,emprunts!$A:$A,0)),INDEX(emprunts!O:O,MATCH($A429,emprunts!$A:$A,0))))</f>
        <v>39203</v>
      </c>
      <c r="E429" s="52">
        <f>INDEX(emprunts!I:I,MATCH($A429,emprunts!$A:$A,0))</f>
        <v>18.170000000000002</v>
      </c>
      <c r="F429" s="18" t="str">
        <f>INDEX(emprunts!P:P,MATCH($A429,emprunts!$A:$A,0))</f>
        <v>Pente</v>
      </c>
      <c r="G429" s="126" t="str">
        <f>IF(LEFT(A429,3)="vx_","vx",INDEX(Categorie,MATCH($A429,emprunts!$A$2:$A$149,0)))</f>
        <v>Struct</v>
      </c>
      <c r="H429">
        <v>2008</v>
      </c>
      <c r="I429">
        <f t="shared" si="56"/>
        <v>1</v>
      </c>
      <c r="N429" s="14"/>
      <c r="O429" s="14"/>
      <c r="Q429" s="14"/>
      <c r="R429" s="14"/>
      <c r="S429" s="14"/>
      <c r="T429" s="14"/>
      <c r="U429" s="14"/>
      <c r="V429" s="14" t="str">
        <f t="shared" si="51"/>
        <v/>
      </c>
      <c r="X429" s="85">
        <f t="shared" si="57"/>
        <v>0</v>
      </c>
      <c r="Y429" s="21" t="str">
        <f t="shared" si="54"/>
        <v/>
      </c>
      <c r="AA429" s="55">
        <f t="shared" si="52"/>
        <v>0</v>
      </c>
      <c r="AB429" s="55">
        <f t="shared" si="53"/>
        <v>0</v>
      </c>
      <c r="AC429" s="55">
        <f t="shared" si="55"/>
        <v>0</v>
      </c>
    </row>
    <row r="430" spans="1:29">
      <c r="A430" t="s">
        <v>197</v>
      </c>
      <c r="B430" s="16" t="str">
        <f>INDEX(emprunts!C:C,MATCH($A430,emprunts!A:A,0))</f>
        <v>Caisse d'Épargne</v>
      </c>
      <c r="C430" s="18">
        <f>INDEX(emprunts!M:M,MATCH($A430,emprunts!$A:$A,0))</f>
        <v>38773</v>
      </c>
      <c r="D430" s="18">
        <f>IF(INDEX(emprunts!O:O,MATCH($A430,emprunts!$A:$A,0))="",INDEX(emprunts!N:N,MATCH($A430,emprunts!$A:$A,0)),MIN(INDEX(emprunts!N:N,MATCH($A430,emprunts!$A:$A,0)),INDEX(emprunts!O:O,MATCH($A430,emprunts!$A:$A,0))))</f>
        <v>39288</v>
      </c>
      <c r="E430" s="52">
        <f>INDEX(emprunts!I:I,MATCH($A430,emprunts!$A:$A,0))</f>
        <v>20</v>
      </c>
      <c r="F430" s="18" t="str">
        <f>INDEX(emprunts!P:P,MATCH($A430,emprunts!$A:$A,0))</f>
        <v>Pente</v>
      </c>
      <c r="G430" s="126" t="str">
        <f>IF(LEFT(A430,3)="vx_","vx",INDEX(Categorie,MATCH($A430,emprunts!$A$2:$A$149,0)))</f>
        <v>Struct</v>
      </c>
      <c r="H430">
        <v>2008</v>
      </c>
      <c r="I430">
        <f t="shared" si="56"/>
        <v>1</v>
      </c>
      <c r="N430" s="14"/>
      <c r="O430" s="14"/>
      <c r="Q430" s="14"/>
      <c r="R430" s="14"/>
      <c r="S430" s="14"/>
      <c r="T430" s="14"/>
      <c r="U430" s="14"/>
      <c r="V430" s="14" t="str">
        <f t="shared" si="51"/>
        <v/>
      </c>
      <c r="X430" s="85">
        <f t="shared" si="57"/>
        <v>0</v>
      </c>
      <c r="Y430" s="21" t="str">
        <f t="shared" si="54"/>
        <v/>
      </c>
      <c r="AA430" s="55">
        <f t="shared" si="52"/>
        <v>0</v>
      </c>
      <c r="AB430" s="55">
        <f t="shared" si="53"/>
        <v>0</v>
      </c>
      <c r="AC430" s="55">
        <f t="shared" si="55"/>
        <v>0</v>
      </c>
    </row>
    <row r="431" spans="1:29">
      <c r="A431" t="s">
        <v>199</v>
      </c>
      <c r="B431" s="16" t="str">
        <f>INDEX(emprunts!C:C,MATCH($A431,emprunts!A:A,0))</f>
        <v>Dexia CL</v>
      </c>
      <c r="C431" s="18">
        <f>INDEX(emprunts!M:M,MATCH($A431,emprunts!$A:$A,0))</f>
        <v>38777</v>
      </c>
      <c r="D431" s="18">
        <f>IF(INDEX(emprunts!O:O,MATCH($A431,emprunts!$A:$A,0))="",INDEX(emprunts!N:N,MATCH($A431,emprunts!$A:$A,0)),MIN(INDEX(emprunts!N:N,MATCH($A431,emprunts!$A:$A,0)),INDEX(emprunts!O:O,MATCH($A431,emprunts!$A:$A,0))))</f>
        <v>40452</v>
      </c>
      <c r="E431" s="52">
        <f>INDEX(emprunts!I:I,MATCH($A431,emprunts!$A:$A,0))</f>
        <v>16.25</v>
      </c>
      <c r="F431" s="18" t="str">
        <f>INDEX(emprunts!P:P,MATCH($A431,emprunts!$A:$A,0))</f>
        <v>Change</v>
      </c>
      <c r="G431" s="126" t="str">
        <f>IF(LEFT(A431,3)="vx_","vx",INDEX(Categorie,MATCH($A431,emprunts!$A$2:$A$149,0)))</f>
        <v>Struct</v>
      </c>
      <c r="H431">
        <v>2008</v>
      </c>
      <c r="I431">
        <f t="shared" si="56"/>
        <v>1</v>
      </c>
      <c r="N431" s="14">
        <v>11244941.99</v>
      </c>
      <c r="O431" s="14">
        <v>8921473</v>
      </c>
      <c r="Q431" s="14">
        <v>297542.77</v>
      </c>
      <c r="R431" s="14">
        <v>1170424.6299999999</v>
      </c>
      <c r="S431" s="14"/>
      <c r="T431" s="14">
        <v>153077.6</v>
      </c>
      <c r="U431" s="14">
        <f>SUM(Q431:S431)</f>
        <v>1467967.4</v>
      </c>
      <c r="V431" s="14">
        <f t="shared" si="51"/>
        <v>0</v>
      </c>
      <c r="X431" s="85">
        <f t="shared" si="57"/>
        <v>0</v>
      </c>
      <c r="Y431" s="21">
        <f t="shared" si="54"/>
        <v>2.9185801444612136E-2</v>
      </c>
      <c r="AA431" s="55">
        <f t="shared" si="52"/>
        <v>277460.23</v>
      </c>
      <c r="AB431" s="55">
        <f t="shared" si="53"/>
        <v>0.62999999895691872</v>
      </c>
      <c r="AC431" s="55">
        <f t="shared" si="55"/>
        <v>9506685.3149999995</v>
      </c>
    </row>
    <row r="432" spans="1:29">
      <c r="A432" t="s">
        <v>204</v>
      </c>
      <c r="B432" s="16" t="str">
        <f>INDEX(emprunts!C:C,MATCH($A432,emprunts!A:A,0))</f>
        <v>Crédit Agricole</v>
      </c>
      <c r="C432" s="18">
        <f>INDEX(emprunts!M:M,MATCH($A432,emprunts!$A:$A,0))</f>
        <v>38782</v>
      </c>
      <c r="D432" s="18">
        <f>IF(INDEX(emprunts!O:O,MATCH($A432,emprunts!$A:$A,0))="",INDEX(emprunts!N:N,MATCH($A432,emprunts!$A:$A,0)),MIN(INDEX(emprunts!N:N,MATCH($A432,emprunts!$A:$A,0)),INDEX(emprunts!O:O,MATCH($A432,emprunts!$A:$A,0))))</f>
        <v>44257</v>
      </c>
      <c r="E432" s="52">
        <f>INDEX(emprunts!I:I,MATCH($A432,emprunts!$A:$A,0))</f>
        <v>15</v>
      </c>
      <c r="F432" s="18" t="str">
        <f>INDEX(emprunts!P:P,MATCH($A432,emprunts!$A:$A,0))</f>
        <v>Barrière</v>
      </c>
      <c r="G432" s="126" t="str">
        <f>IF(LEFT(A432,3)="vx_","vx",INDEX(Categorie,MATCH($A432,emprunts!$A$2:$A$149,0)))</f>
        <v>Struct</v>
      </c>
      <c r="H432">
        <v>2008</v>
      </c>
      <c r="I432">
        <f t="shared" si="56"/>
        <v>1</v>
      </c>
      <c r="N432" s="14"/>
      <c r="O432" s="14"/>
      <c r="Q432" s="14"/>
      <c r="R432" s="14"/>
      <c r="S432" s="14"/>
      <c r="T432" s="14"/>
      <c r="U432" s="14"/>
      <c r="V432" s="14" t="str">
        <f t="shared" si="51"/>
        <v/>
      </c>
      <c r="X432" s="85">
        <f t="shared" si="57"/>
        <v>0</v>
      </c>
      <c r="Y432" s="21" t="str">
        <f t="shared" si="54"/>
        <v/>
      </c>
      <c r="AA432" s="55">
        <f t="shared" si="52"/>
        <v>0</v>
      </c>
      <c r="AB432" s="55">
        <f t="shared" si="53"/>
        <v>0</v>
      </c>
      <c r="AC432" s="55">
        <f t="shared" si="55"/>
        <v>0</v>
      </c>
    </row>
    <row r="433" spans="1:29">
      <c r="A433" t="s">
        <v>207</v>
      </c>
      <c r="B433" s="16" t="str">
        <f>INDEX(emprunts!C:C,MATCH($A433,emprunts!A:A,0))</f>
        <v>Crédit Agricole</v>
      </c>
      <c r="C433" s="18">
        <f>INDEX(emprunts!M:M,MATCH($A433,emprunts!$A:$A,0))</f>
        <v>38782</v>
      </c>
      <c r="D433" s="18">
        <f>IF(INDEX(emprunts!O:O,MATCH($A433,emprunts!$A:$A,0))="",INDEX(emprunts!N:N,MATCH($A433,emprunts!$A:$A,0)),MIN(INDEX(emprunts!N:N,MATCH($A433,emprunts!$A:$A,0)),INDEX(emprunts!O:O,MATCH($A433,emprunts!$A:$A,0))))</f>
        <v>44261</v>
      </c>
      <c r="E433" s="52">
        <f>INDEX(emprunts!I:I,MATCH($A433,emprunts!$A:$A,0))</f>
        <v>15</v>
      </c>
      <c r="F433" s="18" t="str">
        <f>INDEX(emprunts!P:P,MATCH($A433,emprunts!$A:$A,0))</f>
        <v>Fixe</v>
      </c>
      <c r="G433" s="126" t="str">
        <f>IF(LEFT(A433,3)="vx_","vx",INDEX(Categorie,MATCH($A433,emprunts!$A$2:$A$149,0)))</f>
        <v>Non_st</v>
      </c>
      <c r="H433">
        <v>2008</v>
      </c>
      <c r="I433">
        <f t="shared" si="56"/>
        <v>1</v>
      </c>
      <c r="N433" s="14">
        <v>5000000</v>
      </c>
      <c r="O433" s="14">
        <v>4477025</v>
      </c>
      <c r="Q433" s="14">
        <v>171702.45</v>
      </c>
      <c r="R433" s="14">
        <v>266136.05</v>
      </c>
      <c r="S433" s="14"/>
      <c r="T433" s="14">
        <v>133206.84</v>
      </c>
      <c r="U433" s="14">
        <f t="shared" ref="U433:U448" si="58">SUM(Q433:S433)</f>
        <v>437838.5</v>
      </c>
      <c r="V433" s="14">
        <f t="shared" si="51"/>
        <v>0</v>
      </c>
      <c r="X433" s="85">
        <f t="shared" si="57"/>
        <v>0</v>
      </c>
      <c r="Y433" s="21">
        <f t="shared" si="54"/>
        <v>3.5610903968689447E-2</v>
      </c>
      <c r="AA433" s="55">
        <f t="shared" si="52"/>
        <v>164169.58000000005</v>
      </c>
      <c r="AB433" s="55">
        <f t="shared" si="53"/>
        <v>-0.95000000018626451</v>
      </c>
      <c r="AC433" s="55">
        <f t="shared" si="55"/>
        <v>4610093.0250000004</v>
      </c>
    </row>
    <row r="434" spans="1:29">
      <c r="A434" t="s">
        <v>209</v>
      </c>
      <c r="B434" s="16" t="str">
        <f>INDEX(emprunts!C:C,MATCH($A434,emprunts!A:A,0))</f>
        <v>Dexia CL</v>
      </c>
      <c r="C434" s="18">
        <f>INDEX(emprunts!M:M,MATCH($A434,emprunts!$A:$A,0))</f>
        <v>38849</v>
      </c>
      <c r="D434" s="18">
        <f>IF(INDEX(emprunts!O:O,MATCH($A434,emprunts!$A:$A,0))="",INDEX(emprunts!N:N,MATCH($A434,emprunts!$A:$A,0)),MIN(INDEX(emprunts!N:N,MATCH($A434,emprunts!$A:$A,0)),INDEX(emprunts!O:O,MATCH($A434,emprunts!$A:$A,0))))</f>
        <v>39539</v>
      </c>
      <c r="E434" s="52">
        <f>INDEX(emprunts!I:I,MATCH($A434,emprunts!$A:$A,0))</f>
        <v>16.670000000000002</v>
      </c>
      <c r="F434" s="18" t="str">
        <f>INDEX(emprunts!P:P,MATCH($A434,emprunts!$A:$A,0))</f>
        <v>Fixe</v>
      </c>
      <c r="G434" s="126" t="str">
        <f>IF(LEFT(A434,3)="vx_","vx",INDEX(Categorie,MATCH($A434,emprunts!$A$2:$A$149,0)))</f>
        <v>Non_st</v>
      </c>
      <c r="H434">
        <v>2008</v>
      </c>
      <c r="I434">
        <f t="shared" si="56"/>
        <v>1</v>
      </c>
      <c r="N434" s="14">
        <v>7500000</v>
      </c>
      <c r="O434" s="14">
        <v>0</v>
      </c>
      <c r="Q434" s="14">
        <v>78987.5</v>
      </c>
      <c r="R434" s="14">
        <v>125000</v>
      </c>
      <c r="S434" s="14"/>
      <c r="T434" s="14">
        <v>0</v>
      </c>
      <c r="U434" s="14">
        <f t="shared" si="58"/>
        <v>203987.5</v>
      </c>
      <c r="V434" s="14">
        <f t="shared" si="51"/>
        <v>0</v>
      </c>
      <c r="X434" s="85">
        <f t="shared" si="57"/>
        <v>7375000</v>
      </c>
      <c r="Y434" s="21">
        <f t="shared" si="54"/>
        <v>2.8894798116169546E-2</v>
      </c>
      <c r="AA434" s="55">
        <f t="shared" si="52"/>
        <v>53579.07</v>
      </c>
      <c r="AB434" s="55">
        <f t="shared" si="53"/>
        <v>0</v>
      </c>
      <c r="AC434" s="55">
        <f t="shared" si="55"/>
        <v>1854280.8219178081</v>
      </c>
    </row>
    <row r="435" spans="1:29">
      <c r="A435" t="s">
        <v>211</v>
      </c>
      <c r="B435" s="16" t="str">
        <f>INDEX(emprunts!C:C,MATCH($A435,emprunts!A:A,0))</f>
        <v>Dexia CL</v>
      </c>
      <c r="C435" s="18">
        <f>INDEX(emprunts!M:M,MATCH($A435,emprunts!$A:$A,0))</f>
        <v>38899</v>
      </c>
      <c r="D435" s="18">
        <f>IF(INDEX(emprunts!O:O,MATCH($A435,emprunts!$A:$A,0))="",INDEX(emprunts!N:N,MATCH($A435,emprunts!$A:$A,0)),MIN(INDEX(emprunts!N:N,MATCH($A435,emprunts!$A:$A,0)),INDEX(emprunts!O:O,MATCH($A435,emprunts!$A:$A,0))))</f>
        <v>40737</v>
      </c>
      <c r="E435" s="52">
        <f>INDEX(emprunts!I:I,MATCH($A435,emprunts!$A:$A,0))</f>
        <v>20</v>
      </c>
      <c r="F435" s="18" t="str">
        <f>INDEX(emprunts!P:P,MATCH($A435,emprunts!$A:$A,0))</f>
        <v>Change</v>
      </c>
      <c r="G435" s="126" t="str">
        <f>IF(LEFT(A435,3)="vx_","vx",INDEX(Categorie,MATCH($A435,emprunts!$A$2:$A$149,0)))</f>
        <v>Struct</v>
      </c>
      <c r="H435">
        <v>2008</v>
      </c>
      <c r="I435">
        <f t="shared" si="56"/>
        <v>1</v>
      </c>
      <c r="N435" s="14">
        <v>16517587.16</v>
      </c>
      <c r="O435" s="14">
        <v>15837587</v>
      </c>
      <c r="Q435" s="14">
        <v>648020.22</v>
      </c>
      <c r="R435" s="14">
        <v>340000</v>
      </c>
      <c r="S435" s="14"/>
      <c r="T435" s="14">
        <v>317200</v>
      </c>
      <c r="U435" s="14">
        <f t="shared" si="58"/>
        <v>988020.22</v>
      </c>
      <c r="V435" s="14">
        <f t="shared" si="51"/>
        <v>0</v>
      </c>
      <c r="X435" s="85">
        <f t="shared" si="57"/>
        <v>0</v>
      </c>
      <c r="Y435" s="21">
        <f t="shared" si="54"/>
        <v>4.0056637518196839E-2</v>
      </c>
      <c r="AA435" s="55">
        <f t="shared" si="52"/>
        <v>641210.11</v>
      </c>
      <c r="AB435" s="55">
        <f t="shared" si="53"/>
        <v>-340000</v>
      </c>
      <c r="AC435" s="55">
        <f t="shared" si="55"/>
        <v>16007587</v>
      </c>
    </row>
    <row r="436" spans="1:29">
      <c r="A436" t="s">
        <v>213</v>
      </c>
      <c r="B436" s="16" t="str">
        <f>INDEX(emprunts!C:C,MATCH($A436,emprunts!A:A,0))</f>
        <v>Dexia CL</v>
      </c>
      <c r="C436" s="18">
        <f>INDEX(emprunts!M:M,MATCH($A436,emprunts!$A:$A,0))</f>
        <v>38899</v>
      </c>
      <c r="D436" s="18">
        <f>IF(INDEX(emprunts!O:O,MATCH($A436,emprunts!$A:$A,0))="",INDEX(emprunts!N:N,MATCH($A436,emprunts!$A:$A,0)),MIN(INDEX(emprunts!N:N,MATCH($A436,emprunts!$A:$A,0)),INDEX(emprunts!O:O,MATCH($A436,emprunts!$A:$A,0))))</f>
        <v>39783</v>
      </c>
      <c r="E436" s="52">
        <f>INDEX(emprunts!I:I,MATCH($A436,emprunts!$A:$A,0))</f>
        <v>19.75</v>
      </c>
      <c r="F436" s="18" t="str">
        <f>INDEX(emprunts!P:P,MATCH($A436,emprunts!$A:$A,0))</f>
        <v>Pente</v>
      </c>
      <c r="G436" s="126" t="str">
        <f>IF(LEFT(A436,3)="vx_","vx",INDEX(Categorie,MATCH($A436,emprunts!$A$2:$A$149,0)))</f>
        <v>Struct</v>
      </c>
      <c r="H436">
        <v>2008</v>
      </c>
      <c r="I436">
        <f t="shared" si="56"/>
        <v>1</v>
      </c>
      <c r="N436" s="14">
        <v>14054467.35</v>
      </c>
      <c r="O436" s="14">
        <v>0</v>
      </c>
      <c r="Q436" s="14">
        <v>424312.34</v>
      </c>
      <c r="R436" s="14">
        <v>896238.5</v>
      </c>
      <c r="S436" s="14"/>
      <c r="T436" s="14">
        <v>0</v>
      </c>
      <c r="U436" s="14">
        <f t="shared" si="58"/>
        <v>1320550.8400000001</v>
      </c>
      <c r="V436" s="14">
        <f t="shared" si="51"/>
        <v>0</v>
      </c>
      <c r="X436" s="85">
        <f t="shared" si="57"/>
        <v>12311000</v>
      </c>
      <c r="Y436" s="21">
        <f t="shared" si="54"/>
        <v>9.5526169727175817E-3</v>
      </c>
      <c r="Z436" t="s">
        <v>670</v>
      </c>
      <c r="AA436" s="55">
        <f t="shared" si="52"/>
        <v>111865.20000000001</v>
      </c>
      <c r="AB436" s="55">
        <f t="shared" si="53"/>
        <v>-242.5</v>
      </c>
      <c r="AC436" s="55">
        <f t="shared" si="55"/>
        <v>11710424.517123288</v>
      </c>
    </row>
    <row r="437" spans="1:29">
      <c r="A437" t="s">
        <v>215</v>
      </c>
      <c r="B437" s="16" t="str">
        <f>INDEX(emprunts!C:C,MATCH($A437,emprunts!A:A,0))</f>
        <v>Dexia CL</v>
      </c>
      <c r="C437" s="18">
        <f>INDEX(emprunts!M:M,MATCH($A437,emprunts!$A:$A,0))</f>
        <v>38991</v>
      </c>
      <c r="D437" s="18">
        <f>IF(INDEX(emprunts!O:O,MATCH($A437,emprunts!$A:$A,0))="",INDEX(emprunts!N:N,MATCH($A437,emprunts!$A:$A,0)),MIN(INDEX(emprunts!N:N,MATCH($A437,emprunts!$A:$A,0)),INDEX(emprunts!O:O,MATCH($A437,emprunts!$A:$A,0))))</f>
        <v>40087</v>
      </c>
      <c r="E437" s="52">
        <f>INDEX(emprunts!I:I,MATCH($A437,emprunts!$A:$A,0))</f>
        <v>19</v>
      </c>
      <c r="F437" s="18" t="str">
        <f>INDEX(emprunts!P:P,MATCH($A437,emprunts!$A:$A,0))</f>
        <v>Change</v>
      </c>
      <c r="G437" s="126" t="str">
        <f>IF(LEFT(A437,3)="vx_","vx",INDEX(Categorie,MATCH($A437,emprunts!$A$2:$A$149,0)))</f>
        <v>Struct</v>
      </c>
      <c r="H437">
        <v>2008</v>
      </c>
      <c r="I437">
        <f t="shared" si="56"/>
        <v>1</v>
      </c>
      <c r="N437" s="14">
        <v>12000000</v>
      </c>
      <c r="O437" s="14">
        <v>11246513</v>
      </c>
      <c r="Q437" s="14">
        <v>395737.14</v>
      </c>
      <c r="R437" s="14">
        <v>477874</v>
      </c>
      <c r="S437" s="14"/>
      <c r="T437" s="14">
        <v>94383.24</v>
      </c>
      <c r="U437" s="14">
        <f t="shared" si="58"/>
        <v>873611.14</v>
      </c>
      <c r="V437" s="14">
        <f t="shared" si="51"/>
        <v>0</v>
      </c>
      <c r="X437" s="85">
        <f t="shared" si="57"/>
        <v>0</v>
      </c>
      <c r="Y437" s="21">
        <f t="shared" si="54"/>
        <v>3.4106344984306231E-2</v>
      </c>
      <c r="AA437" s="55">
        <f t="shared" si="52"/>
        <v>391726.72</v>
      </c>
      <c r="AB437" s="55">
        <f t="shared" si="53"/>
        <v>0</v>
      </c>
      <c r="AC437" s="55">
        <f t="shared" si="55"/>
        <v>11485450</v>
      </c>
    </row>
    <row r="438" spans="1:29">
      <c r="A438" t="s">
        <v>217</v>
      </c>
      <c r="B438" s="16" t="str">
        <f>INDEX(emprunts!C:C,MATCH($A438,emprunts!A:A,0))</f>
        <v>Dexia CL</v>
      </c>
      <c r="C438" s="18">
        <f>INDEX(emprunts!M:M,MATCH($A438,emprunts!$A:$A,0))</f>
        <v>38991</v>
      </c>
      <c r="D438" s="18">
        <f>IF(INDEX(emprunts!O:O,MATCH($A438,emprunts!$A:$A,0))="",INDEX(emprunts!N:N,MATCH($A438,emprunts!$A:$A,0)),MIN(INDEX(emprunts!N:N,MATCH($A438,emprunts!$A:$A,0)),INDEX(emprunts!O:O,MATCH($A438,emprunts!$A:$A,0))))</f>
        <v>39783</v>
      </c>
      <c r="E438" s="52">
        <f>INDEX(emprunts!I:I,MATCH($A438,emprunts!$A:$A,0))</f>
        <v>19.170000000000002</v>
      </c>
      <c r="F438" s="18" t="str">
        <f>INDEX(emprunts!P:P,MATCH($A438,emprunts!$A:$A,0))</f>
        <v>Change</v>
      </c>
      <c r="G438" s="126" t="str">
        <f>IF(LEFT(A438,3)="vx_","vx",INDEX(Categorie,MATCH($A438,emprunts!$A$2:$A$149,0)))</f>
        <v>Struct</v>
      </c>
      <c r="H438">
        <v>2008</v>
      </c>
      <c r="I438">
        <f t="shared" si="56"/>
        <v>1</v>
      </c>
      <c r="N438" s="14">
        <v>12000000</v>
      </c>
      <c r="O438" s="14">
        <v>0</v>
      </c>
      <c r="Q438" s="14">
        <v>356401.82</v>
      </c>
      <c r="R438" s="14">
        <v>477874</v>
      </c>
      <c r="S438" s="14"/>
      <c r="T438" s="14">
        <v>0</v>
      </c>
      <c r="U438" s="14">
        <f t="shared" si="58"/>
        <v>834275.82000000007</v>
      </c>
      <c r="V438" s="14">
        <f t="shared" ref="V438:V480" si="59">IF(U438="","",U438-SUM(Q438:S438))</f>
        <v>0</v>
      </c>
      <c r="X438" s="85">
        <f t="shared" si="57"/>
        <v>11247000</v>
      </c>
      <c r="Y438" s="21">
        <f t="shared" si="54"/>
        <v>3.1037000121078625E-2</v>
      </c>
      <c r="AA438" s="55">
        <f t="shared" si="52"/>
        <v>327188.56</v>
      </c>
      <c r="AB438" s="55">
        <f t="shared" si="53"/>
        <v>487</v>
      </c>
      <c r="AC438" s="55">
        <f t="shared" si="55"/>
        <v>10541887.383561645</v>
      </c>
    </row>
    <row r="439" spans="1:29">
      <c r="A439" t="s">
        <v>503</v>
      </c>
      <c r="B439" s="16" t="str">
        <f>INDEX(emprunts!C:C,MATCH($A439,emprunts!A:A,0))</f>
        <v>Société Générale</v>
      </c>
      <c r="C439" s="18">
        <f>INDEX(emprunts!M:M,MATCH($A439,emprunts!$A:$A,0))</f>
        <v>39356</v>
      </c>
      <c r="D439" s="18">
        <f>IF(INDEX(emprunts!O:O,MATCH($A439,emprunts!$A:$A,0))="",INDEX(emprunts!N:N,MATCH($A439,emprunts!$A:$A,0)),MIN(INDEX(emprunts!N:N,MATCH($A439,emprunts!$A:$A,0)),INDEX(emprunts!O:O,MATCH($A439,emprunts!$A:$A,0))))</f>
        <v>40513</v>
      </c>
      <c r="E439" s="52">
        <f>INDEX(emprunts!I:I,MATCH($A439,emprunts!$A:$A,0))</f>
        <v>20</v>
      </c>
      <c r="F439" s="18" t="str">
        <f>INDEX(emprunts!P:P,MATCH($A439,emprunts!$A:$A,0))</f>
        <v>Barrière avec multiplicateur</v>
      </c>
      <c r="G439" s="126" t="str">
        <f>IF(LEFT(A439,3)="vx_","vx",INDEX(Categorie,MATCH($A439,emprunts!$A$2:$A$149,0)))</f>
        <v>Struct</v>
      </c>
      <c r="H439">
        <v>2008</v>
      </c>
      <c r="I439">
        <f t="shared" si="56"/>
        <v>1</v>
      </c>
      <c r="N439" s="14">
        <v>3000000</v>
      </c>
      <c r="O439" s="14">
        <v>2794480</v>
      </c>
      <c r="Q439" s="14">
        <v>105228.45</v>
      </c>
      <c r="R439" s="14">
        <v>104775.06</v>
      </c>
      <c r="S439" s="14"/>
      <c r="T439" s="14">
        <v>0</v>
      </c>
      <c r="U439" s="14">
        <f t="shared" si="58"/>
        <v>210003.51</v>
      </c>
      <c r="V439" s="14">
        <f t="shared" si="59"/>
        <v>0</v>
      </c>
      <c r="X439" s="85">
        <f t="shared" si="57"/>
        <v>0</v>
      </c>
      <c r="Y439" s="21">
        <f t="shared" si="54"/>
        <v>3.6962889523700457E-2</v>
      </c>
      <c r="AA439" s="55">
        <f t="shared" si="52"/>
        <v>105228.45</v>
      </c>
      <c r="AB439" s="55">
        <f t="shared" si="53"/>
        <v>6.0000000055879354E-2</v>
      </c>
      <c r="AC439" s="55">
        <f t="shared" si="55"/>
        <v>2846867.53</v>
      </c>
    </row>
    <row r="440" spans="1:29">
      <c r="A440" t="s">
        <v>502</v>
      </c>
      <c r="B440" s="16" t="str">
        <f>INDEX(emprunts!C:C,MATCH($A440,emprunts!A:A,0))</f>
        <v>Société Générale</v>
      </c>
      <c r="C440" s="18">
        <f>INDEX(emprunts!M:M,MATCH($A440,emprunts!$A:$A,0))</f>
        <v>39356</v>
      </c>
      <c r="D440" s="18">
        <f>IF(INDEX(emprunts!O:O,MATCH($A440,emprunts!$A:$A,0))="",INDEX(emprunts!N:N,MATCH($A440,emprunts!$A:$A,0)),MIN(INDEX(emprunts!N:N,MATCH($A440,emprunts!$A:$A,0)),INDEX(emprunts!O:O,MATCH($A440,emprunts!$A:$A,0))))</f>
        <v>40452</v>
      </c>
      <c r="E440" s="52">
        <f>INDEX(emprunts!I:I,MATCH($A440,emprunts!$A:$A,0))</f>
        <v>20.079999999999998</v>
      </c>
      <c r="F440" s="18" t="str">
        <f>INDEX(emprunts!P:P,MATCH($A440,emprunts!$A:$A,0))</f>
        <v>Écart d'inflation</v>
      </c>
      <c r="G440" s="126" t="str">
        <f>IF(LEFT(A440,3)="vx_","vx",INDEX(Categorie,MATCH($A440,emprunts!$A$2:$A$149,0)))</f>
        <v>Struct</v>
      </c>
      <c r="H440">
        <v>2008</v>
      </c>
      <c r="I440">
        <f t="shared" si="56"/>
        <v>1</v>
      </c>
      <c r="N440" s="14">
        <v>5000000</v>
      </c>
      <c r="O440" s="14">
        <v>4832091</v>
      </c>
      <c r="Q440" s="14">
        <v>181500</v>
      </c>
      <c r="R440" s="14">
        <v>167908.75</v>
      </c>
      <c r="S440" s="14"/>
      <c r="T440" s="14">
        <v>0</v>
      </c>
      <c r="U440" s="14">
        <f t="shared" si="58"/>
        <v>349408.75</v>
      </c>
      <c r="V440" s="14">
        <f t="shared" si="59"/>
        <v>0</v>
      </c>
      <c r="X440" s="85">
        <f t="shared" si="57"/>
        <v>0</v>
      </c>
      <c r="Y440" s="21">
        <f t="shared" si="54"/>
        <v>3.691991960102687E-2</v>
      </c>
      <c r="AA440" s="55">
        <f t="shared" si="52"/>
        <v>181500</v>
      </c>
      <c r="AB440" s="55">
        <f t="shared" si="53"/>
        <v>-0.25</v>
      </c>
      <c r="AC440" s="55">
        <f t="shared" si="55"/>
        <v>4916045.375</v>
      </c>
    </row>
    <row r="441" spans="1:29">
      <c r="A441" t="s">
        <v>222</v>
      </c>
      <c r="B441" s="16" t="str">
        <f>INDEX(emprunts!C:C,MATCH($A441,emprunts!A:A,0))</f>
        <v>Dexia CL</v>
      </c>
      <c r="C441" s="18">
        <f>INDEX(emprunts!M:M,MATCH($A441,emprunts!$A:$A,0))</f>
        <v>39114</v>
      </c>
      <c r="D441" s="18">
        <f>IF(INDEX(emprunts!O:O,MATCH($A441,emprunts!$A:$A,0))="",INDEX(emprunts!N:N,MATCH($A441,emprunts!$A:$A,0)),MIN(INDEX(emprunts!N:N,MATCH($A441,emprunts!$A:$A,0)),INDEX(emprunts!O:O,MATCH($A441,emprunts!$A:$A,0))))</f>
        <v>39668</v>
      </c>
      <c r="E441" s="52">
        <f>INDEX(emprunts!I:I,MATCH($A441,emprunts!$A:$A,0))</f>
        <v>18.75</v>
      </c>
      <c r="F441" s="18" t="str">
        <f>INDEX(emprunts!P:P,MATCH($A441,emprunts!$A:$A,0))</f>
        <v>Change</v>
      </c>
      <c r="G441" s="126" t="str">
        <f>IF(LEFT(A441,3)="vx_","vx",INDEX(Categorie,MATCH($A441,emprunts!$A$2:$A$149,0)))</f>
        <v>Struct</v>
      </c>
      <c r="H441">
        <v>2008</v>
      </c>
      <c r="I441">
        <f t="shared" si="56"/>
        <v>1</v>
      </c>
      <c r="N441" s="14">
        <v>20001887.469999999</v>
      </c>
      <c r="O441" s="14">
        <v>0</v>
      </c>
      <c r="Q441" s="14">
        <v>361189.6</v>
      </c>
      <c r="R441" s="14">
        <v>1527471.46</v>
      </c>
      <c r="S441" s="14"/>
      <c r="T441" s="14">
        <v>0</v>
      </c>
      <c r="U441" s="14">
        <f t="shared" si="58"/>
        <v>1888661.06</v>
      </c>
      <c r="V441" s="14">
        <f t="shared" si="59"/>
        <v>0</v>
      </c>
      <c r="X441" s="85">
        <f t="shared" si="57"/>
        <v>17170000</v>
      </c>
      <c r="Y441" s="21">
        <f t="shared" si="54"/>
        <v>2.7936693018991376E-2</v>
      </c>
      <c r="AA441" s="55">
        <f t="shared" si="52"/>
        <v>301978.18999999994</v>
      </c>
      <c r="AB441" s="55">
        <f t="shared" si="53"/>
        <v>-867.61999999731779</v>
      </c>
      <c r="AC441" s="55">
        <f t="shared" si="55"/>
        <v>10809374.960547945</v>
      </c>
    </row>
    <row r="442" spans="1:29">
      <c r="A442" t="s">
        <v>223</v>
      </c>
      <c r="B442" s="16" t="str">
        <f>INDEX(emprunts!C:C,MATCH($A442,emprunts!A:A,0))</f>
        <v>Crédit Agricole</v>
      </c>
      <c r="C442" s="18">
        <f>INDEX(emprunts!M:M,MATCH($A442,emprunts!$A:$A,0))</f>
        <v>39182</v>
      </c>
      <c r="D442" s="18">
        <f>IF(INDEX(emprunts!O:O,MATCH($A442,emprunts!$A:$A,0))="",INDEX(emprunts!N:N,MATCH($A442,emprunts!$A:$A,0)),MIN(INDEX(emprunts!N:N,MATCH($A442,emprunts!$A:$A,0)),INDEX(emprunts!O:O,MATCH($A442,emprunts!$A:$A,0))))</f>
        <v>46813</v>
      </c>
      <c r="E442" s="52">
        <f>INDEX(emprunts!I:I,MATCH($A442,emprunts!$A:$A,0))</f>
        <v>20</v>
      </c>
      <c r="F442" s="18" t="str">
        <f>INDEX(emprunts!P:P,MATCH($A442,emprunts!$A:$A,0))</f>
        <v>Pente</v>
      </c>
      <c r="G442" s="126" t="str">
        <f>IF(LEFT(A442,3)="vx_","vx",INDEX(Categorie,MATCH($A442,emprunts!$A$2:$A$149,0)))</f>
        <v>Struct</v>
      </c>
      <c r="H442">
        <v>2008</v>
      </c>
      <c r="I442">
        <f t="shared" si="56"/>
        <v>1</v>
      </c>
      <c r="N442" s="14">
        <v>5000000</v>
      </c>
      <c r="O442" s="14">
        <v>4879476</v>
      </c>
      <c r="Q442" s="14">
        <f>132131.88+51506.52</f>
        <v>183638.39999999999</v>
      </c>
      <c r="R442" s="14">
        <v>120524.22</v>
      </c>
      <c r="S442" s="14"/>
      <c r="T442" s="14">
        <v>14231.8</v>
      </c>
      <c r="U442" s="14">
        <f t="shared" si="58"/>
        <v>304162.62</v>
      </c>
      <c r="V442" s="14">
        <f t="shared" si="59"/>
        <v>0</v>
      </c>
      <c r="X442" s="85">
        <f t="shared" si="57"/>
        <v>0</v>
      </c>
      <c r="Y442" s="21">
        <f t="shared" si="54"/>
        <v>3.6781375035285016E-2</v>
      </c>
      <c r="Z442" t="s">
        <v>626</v>
      </c>
      <c r="AA442" s="55">
        <f t="shared" si="52"/>
        <v>181690.36</v>
      </c>
      <c r="AB442" s="55">
        <f t="shared" si="53"/>
        <v>0.21999999973922968</v>
      </c>
      <c r="AC442" s="55">
        <f t="shared" si="55"/>
        <v>4939738.1100000003</v>
      </c>
    </row>
    <row r="443" spans="1:29">
      <c r="A443" t="s">
        <v>225</v>
      </c>
      <c r="B443" s="16" t="str">
        <f>INDEX(emprunts!C:C,MATCH($A443,emprunts!A:A,0))</f>
        <v>Dexia CL</v>
      </c>
      <c r="C443" s="18">
        <f>INDEX(emprunts!M:M,MATCH($A443,emprunts!$A:$A,0))</f>
        <v>39539</v>
      </c>
      <c r="D443" s="18">
        <f>IF(INDEX(emprunts!O:O,MATCH($A443,emprunts!$A:$A,0))="",INDEX(emprunts!N:N,MATCH($A443,emprunts!$A:$A,0)),MIN(INDEX(emprunts!N:N,MATCH($A443,emprunts!$A:$A,0)),INDEX(emprunts!O:O,MATCH($A443,emprunts!$A:$A,0))))</f>
        <v>40118</v>
      </c>
      <c r="E443" s="52">
        <f>INDEX(emprunts!I:I,MATCH($A443,emprunts!$A:$A,0))</f>
        <v>25.67</v>
      </c>
      <c r="F443" s="18" t="str">
        <f>INDEX(emprunts!P:P,MATCH($A443,emprunts!$A:$A,0))</f>
        <v>Pente</v>
      </c>
      <c r="G443" s="126" t="str">
        <f>IF(LEFT(A443,3)="vx_","vx",INDEX(Categorie,MATCH($A443,emprunts!$A$2:$A$149,0)))</f>
        <v>Struct</v>
      </c>
      <c r="H443">
        <v>2008</v>
      </c>
      <c r="I443">
        <f t="shared" si="56"/>
        <v>1</v>
      </c>
      <c r="N443" s="14">
        <v>13760792.98</v>
      </c>
      <c r="O443" s="14">
        <v>13306192.67</v>
      </c>
      <c r="Q443" s="14">
        <v>292210.44</v>
      </c>
      <c r="R443" s="14">
        <v>454600.31</v>
      </c>
      <c r="S443" s="14"/>
      <c r="T443" s="14">
        <v>61873.8</v>
      </c>
      <c r="U443" s="14">
        <f t="shared" si="58"/>
        <v>746810.75</v>
      </c>
      <c r="V443" s="14">
        <f t="shared" si="59"/>
        <v>0</v>
      </c>
      <c r="X443" s="85">
        <f t="shared" si="57"/>
        <v>0</v>
      </c>
      <c r="Y443" s="21">
        <f t="shared" si="54"/>
        <v>3.4852906539590355E-2</v>
      </c>
      <c r="Z443" t="s">
        <v>627</v>
      </c>
      <c r="AA443" s="55">
        <f t="shared" ref="AA443:AA506" si="60">T443+Q443+S443-SUMPRODUCT(($A$123:$A$1367=$A443)*($H$123:$H$1367=$H443-1),$T$123:$T$1367)</f>
        <v>354084.24</v>
      </c>
      <c r="AB443" s="55" t="str">
        <f t="shared" ref="AB443:AB506" si="61">IF(YEAR(C443)=H443,"",O443+R443+X443-W443-SUMPRODUCT(($A$123:$A$1367=$A443)*($H$123:$H$1367=$H443-1),$O$123:$O$1367))</f>
        <v/>
      </c>
      <c r="AC443" s="55">
        <f t="shared" si="55"/>
        <v>10159389.134383561</v>
      </c>
    </row>
    <row r="444" spans="1:29">
      <c r="A444" t="s">
        <v>227</v>
      </c>
      <c r="B444" s="16" t="str">
        <f>INDEX(emprunts!C:C,MATCH($A444,emprunts!A:A,0))</f>
        <v>Dexia CL</v>
      </c>
      <c r="C444" s="18">
        <f>INDEX(emprunts!M:M,MATCH($A444,emprunts!$A:$A,0))</f>
        <v>39203</v>
      </c>
      <c r="D444" s="18">
        <f>IF(INDEX(emprunts!O:O,MATCH($A444,emprunts!$A:$A,0))="",INDEX(emprunts!N:N,MATCH($A444,emprunts!$A:$A,0)),MIN(INDEX(emprunts!N:N,MATCH($A444,emprunts!$A:$A,0)),INDEX(emprunts!O:O,MATCH($A444,emprunts!$A:$A,0))))</f>
        <v>40176</v>
      </c>
      <c r="E444" s="52">
        <f>INDEX(emprunts!I:I,MATCH($A444,emprunts!$A:$A,0))</f>
        <v>17</v>
      </c>
      <c r="F444" s="18" t="str">
        <f>INDEX(emprunts!P:P,MATCH($A444,emprunts!$A:$A,0))</f>
        <v>Courbes</v>
      </c>
      <c r="G444" s="126" t="str">
        <f>IF(LEFT(A444,3)="vx_","vx",INDEX(Categorie,MATCH($A444,emprunts!$A$2:$A$149,0)))</f>
        <v>Struct</v>
      </c>
      <c r="H444">
        <v>2008</v>
      </c>
      <c r="I444">
        <f t="shared" si="56"/>
        <v>1</v>
      </c>
      <c r="N444" s="14">
        <v>16991098.010000002</v>
      </c>
      <c r="O444" s="14">
        <v>16326665</v>
      </c>
      <c r="Q444" s="14">
        <v>449131.36</v>
      </c>
      <c r="R444" s="14">
        <v>664432.76</v>
      </c>
      <c r="S444" s="14"/>
      <c r="T444" s="14">
        <v>287712.13</v>
      </c>
      <c r="U444" s="14">
        <f t="shared" si="58"/>
        <v>1113564.1200000001</v>
      </c>
      <c r="V444" s="14">
        <f t="shared" si="59"/>
        <v>0</v>
      </c>
      <c r="X444" s="85">
        <f t="shared" si="57"/>
        <v>0</v>
      </c>
      <c r="Y444" s="21">
        <f t="shared" si="54"/>
        <v>2.6257620186019955E-2</v>
      </c>
      <c r="AA444" s="55">
        <f t="shared" si="60"/>
        <v>437422.58</v>
      </c>
      <c r="AB444" s="55">
        <f t="shared" si="61"/>
        <v>-0.23999999836087227</v>
      </c>
      <c r="AC444" s="55">
        <f t="shared" si="55"/>
        <v>16658881.380000001</v>
      </c>
    </row>
    <row r="445" spans="1:29">
      <c r="A445" t="s">
        <v>231</v>
      </c>
      <c r="B445" s="16" t="str">
        <f>INDEX(emprunts!C:C,MATCH($A445,emprunts!A:A,0))</f>
        <v>Dexia CL</v>
      </c>
      <c r="C445" s="18">
        <f>INDEX(emprunts!M:M,MATCH($A445,emprunts!$A:$A,0))</f>
        <v>39203</v>
      </c>
      <c r="D445" s="18">
        <f>IF(INDEX(emprunts!O:O,MATCH($A445,emprunts!$A:$A,0))="",INDEX(emprunts!N:N,MATCH($A445,emprunts!$A:$A,0)),MIN(INDEX(emprunts!N:N,MATCH($A445,emprunts!$A:$A,0)),INDEX(emprunts!O:O,MATCH($A445,emprunts!$A:$A,0))))</f>
        <v>40176</v>
      </c>
      <c r="E445" s="52">
        <f>INDEX(emprunts!I:I,MATCH($A445,emprunts!$A:$A,0))</f>
        <v>16.920000000000002</v>
      </c>
      <c r="F445" s="18" t="str">
        <f>INDEX(emprunts!P:P,MATCH($A445,emprunts!$A:$A,0))</f>
        <v>Écart d'inflation</v>
      </c>
      <c r="G445" s="126" t="str">
        <f>IF(LEFT(A445,3)="vx_","vx",INDEX(Categorie,MATCH($A445,emprunts!$A$2:$A$149,0)))</f>
        <v>Struct</v>
      </c>
      <c r="H445">
        <v>2008</v>
      </c>
      <c r="I445">
        <f t="shared" si="56"/>
        <v>1</v>
      </c>
      <c r="N445" s="14">
        <v>14464967.939999999</v>
      </c>
      <c r="O445" s="14">
        <v>13852986</v>
      </c>
      <c r="Q445" s="14">
        <v>376757.71</v>
      </c>
      <c r="R445" s="14">
        <v>563763.47</v>
      </c>
      <c r="S445" s="14"/>
      <c r="T445" s="14">
        <v>285609.96999999997</v>
      </c>
      <c r="U445" s="14">
        <f t="shared" si="58"/>
        <v>940521.17999999993</v>
      </c>
      <c r="V445" s="14">
        <f t="shared" si="59"/>
        <v>0</v>
      </c>
      <c r="X445" s="85">
        <f t="shared" si="57"/>
        <v>0</v>
      </c>
      <c r="Y445" s="21">
        <f t="shared" si="54"/>
        <v>2.7504312547428304E-2</v>
      </c>
      <c r="Z445" t="s">
        <v>631</v>
      </c>
      <c r="AA445" s="55">
        <f t="shared" si="60"/>
        <v>388769.81999999995</v>
      </c>
      <c r="AB445" s="55">
        <f t="shared" si="61"/>
        <v>459339.12000000104</v>
      </c>
      <c r="AC445" s="55">
        <f t="shared" si="55"/>
        <v>14134867.734999999</v>
      </c>
    </row>
    <row r="446" spans="1:29">
      <c r="A446" t="s">
        <v>233</v>
      </c>
      <c r="B446" s="16" t="str">
        <f>INDEX(emprunts!C:C,MATCH($A446,emprunts!A:A,0))</f>
        <v>Société Générale</v>
      </c>
      <c r="C446" s="18">
        <f>INDEX(emprunts!M:M,MATCH($A446,emprunts!$A:$A,0))</f>
        <v>39226</v>
      </c>
      <c r="D446" s="18">
        <f>IF(INDEX(emprunts!O:O,MATCH($A446,emprunts!$A:$A,0))="",INDEX(emprunts!N:N,MATCH($A446,emprunts!$A:$A,0)),MIN(INDEX(emprunts!N:N,MATCH($A446,emprunts!$A:$A,0)),INDEX(emprunts!O:O,MATCH($A446,emprunts!$A:$A,0))))</f>
        <v>39904</v>
      </c>
      <c r="E446" s="52">
        <f>INDEX(emprunts!I:I,MATCH($A446,emprunts!$A:$A,0))</f>
        <v>19</v>
      </c>
      <c r="F446" s="18" t="str">
        <f>INDEX(emprunts!P:P,MATCH($A446,emprunts!$A:$A,0))</f>
        <v>Change</v>
      </c>
      <c r="G446" s="126" t="str">
        <f>IF(LEFT(A446,3)="vx_","vx",INDEX(Categorie,MATCH($A446,emprunts!$A$2:$A$149,0)))</f>
        <v>Struct</v>
      </c>
      <c r="H446">
        <v>2008</v>
      </c>
      <c r="I446">
        <f t="shared" si="56"/>
        <v>1</v>
      </c>
      <c r="N446" s="14">
        <v>4000000</v>
      </c>
      <c r="O446" s="14">
        <v>4000000</v>
      </c>
      <c r="Q446" s="14">
        <v>14174.69</v>
      </c>
      <c r="R446" s="14">
        <v>0</v>
      </c>
      <c r="S446" s="14"/>
      <c r="T446" s="14">
        <v>95900</v>
      </c>
      <c r="U446" s="14">
        <f t="shared" si="58"/>
        <v>14174.69</v>
      </c>
      <c r="V446" s="14">
        <f t="shared" si="59"/>
        <v>0</v>
      </c>
      <c r="X446" s="85">
        <f t="shared" si="57"/>
        <v>0</v>
      </c>
      <c r="Y446" s="21">
        <f t="shared" si="54"/>
        <v>2.4270205000000003E-2</v>
      </c>
      <c r="Z446" t="s">
        <v>630</v>
      </c>
      <c r="AA446" s="55">
        <f t="shared" si="60"/>
        <v>97080.82</v>
      </c>
      <c r="AB446" s="55">
        <f t="shared" si="61"/>
        <v>0</v>
      </c>
      <c r="AC446" s="55">
        <f t="shared" si="55"/>
        <v>4000000</v>
      </c>
    </row>
    <row r="447" spans="1:29">
      <c r="A447" t="s">
        <v>235</v>
      </c>
      <c r="B447" s="16" t="str">
        <f>INDEX(emprunts!C:C,MATCH($A447,emprunts!A:A,0))</f>
        <v>Caisse d'Épargne</v>
      </c>
      <c r="C447" s="18">
        <f>INDEX(emprunts!M:M,MATCH($A447,emprunts!$A:$A,0))</f>
        <v>39288</v>
      </c>
      <c r="D447" s="18">
        <f>IF(INDEX(emprunts!O:O,MATCH($A447,emprunts!$A:$A,0))="",INDEX(emprunts!N:N,MATCH($A447,emprunts!$A:$A,0)),MIN(INDEX(emprunts!N:N,MATCH($A447,emprunts!$A:$A,0)),INDEX(emprunts!O:O,MATCH($A447,emprunts!$A:$A,0))))</f>
        <v>40964</v>
      </c>
      <c r="E447" s="52">
        <f>INDEX(emprunts!I:I,MATCH($A447,emprunts!$A:$A,0))</f>
        <v>18.579999999999998</v>
      </c>
      <c r="F447" s="18" t="str">
        <f>INDEX(emprunts!P:P,MATCH($A447,emprunts!$A:$A,0))</f>
        <v>Courbes</v>
      </c>
      <c r="G447" s="126" t="str">
        <f>IF(LEFT(A447,3)="vx_","vx",INDEX(Categorie,MATCH($A447,emprunts!$A$2:$A$149,0)))</f>
        <v>Struct</v>
      </c>
      <c r="H447">
        <v>2008</v>
      </c>
      <c r="I447">
        <f t="shared" si="56"/>
        <v>1</v>
      </c>
      <c r="N447" s="14">
        <v>15000869.08</v>
      </c>
      <c r="O447" s="14">
        <v>14306507</v>
      </c>
      <c r="Q447" s="14">
        <v>197094.75</v>
      </c>
      <c r="R447" s="14">
        <v>694362.58</v>
      </c>
      <c r="S447" s="14"/>
      <c r="T447" s="14">
        <v>0</v>
      </c>
      <c r="U447" s="14">
        <f t="shared" si="58"/>
        <v>891457.33</v>
      </c>
      <c r="V447" s="14">
        <f t="shared" si="59"/>
        <v>0</v>
      </c>
      <c r="X447" s="85">
        <f t="shared" si="57"/>
        <v>0</v>
      </c>
      <c r="Y447" s="21">
        <f t="shared" si="54"/>
        <v>1.3450180329992539E-2</v>
      </c>
      <c r="AA447" s="55">
        <f t="shared" si="60"/>
        <v>197094.75</v>
      </c>
      <c r="AB447" s="55">
        <f t="shared" si="61"/>
        <v>0.58000000007450581</v>
      </c>
      <c r="AC447" s="55">
        <f t="shared" si="55"/>
        <v>14653688.289999999</v>
      </c>
    </row>
    <row r="448" spans="1:29">
      <c r="A448" t="s">
        <v>239</v>
      </c>
      <c r="B448" s="16" t="str">
        <f>INDEX(emprunts!C:C,MATCH($A448,emprunts!A:A,0))</f>
        <v>Dexia CL</v>
      </c>
      <c r="C448" s="18">
        <f>INDEX(emprunts!M:M,MATCH($A448,emprunts!$A:$A,0))</f>
        <v>39324</v>
      </c>
      <c r="D448" s="18">
        <f>IF(INDEX(emprunts!O:O,MATCH($A448,emprunts!$A:$A,0))="",INDEX(emprunts!N:N,MATCH($A448,emprunts!$A:$A,0)),MIN(INDEX(emprunts!N:N,MATCH($A448,emprunts!$A:$A,0)),INDEX(emprunts!O:O,MATCH($A448,emprunts!$A:$A,0))))</f>
        <v>40634</v>
      </c>
      <c r="E448" s="52">
        <f>INDEX(emprunts!I:I,MATCH($A448,emprunts!$A:$A,0))</f>
        <v>25</v>
      </c>
      <c r="F448" s="18" t="str">
        <f>INDEX(emprunts!P:P,MATCH($A448,emprunts!$A:$A,0))</f>
        <v>Courbes</v>
      </c>
      <c r="G448" s="126" t="str">
        <f>IF(LEFT(A448,3)="vx_","vx",INDEX(Categorie,MATCH($A448,emprunts!$A$2:$A$149,0)))</f>
        <v>Struct</v>
      </c>
      <c r="H448">
        <v>2008</v>
      </c>
      <c r="I448">
        <f t="shared" si="56"/>
        <v>1</v>
      </c>
      <c r="N448" s="14">
        <v>14311242</v>
      </c>
      <c r="O448" s="14">
        <f>14311242+5287418</f>
        <v>19598660</v>
      </c>
      <c r="Q448" s="14">
        <v>7558.45</v>
      </c>
      <c r="R448" s="14">
        <v>0</v>
      </c>
      <c r="S448" s="14"/>
      <c r="T448" s="14">
        <v>0</v>
      </c>
      <c r="U448" s="14">
        <f t="shared" si="58"/>
        <v>7558.45</v>
      </c>
      <c r="V448" s="14">
        <f t="shared" si="59"/>
        <v>0</v>
      </c>
      <c r="X448" s="85">
        <f t="shared" si="57"/>
        <v>0</v>
      </c>
      <c r="Y448" s="21">
        <f t="shared" si="54"/>
        <v>3.8566157074004039E-4</v>
      </c>
      <c r="Z448" t="s">
        <v>629</v>
      </c>
      <c r="AA448" s="55">
        <f t="shared" si="60"/>
        <v>7558.45</v>
      </c>
      <c r="AB448" s="55">
        <f t="shared" si="61"/>
        <v>14311242</v>
      </c>
      <c r="AC448" s="55">
        <f t="shared" si="55"/>
        <v>19598660</v>
      </c>
    </row>
    <row r="449" spans="1:29">
      <c r="A449" t="s">
        <v>504</v>
      </c>
      <c r="B449" s="16" t="str">
        <f>INDEX(emprunts!C:C,MATCH($A449,emprunts!A:A,0))</f>
        <v>Société Générale</v>
      </c>
      <c r="C449" s="18">
        <f>INDEX(emprunts!M:M,MATCH($A449,emprunts!$A:$A,0))</f>
        <v>39356</v>
      </c>
      <c r="D449" s="18">
        <f>IF(INDEX(emprunts!O:O,MATCH($A449,emprunts!$A:$A,0))="",INDEX(emprunts!N:N,MATCH($A449,emprunts!$A:$A,0)),MIN(INDEX(emprunts!N:N,MATCH($A449,emprunts!$A:$A,0)),INDEX(emprunts!O:O,MATCH($A449,emprunts!$A:$A,0))))</f>
        <v>40422</v>
      </c>
      <c r="E449" s="52">
        <f>INDEX(emprunts!I:I,MATCH($A449,emprunts!$A:$A,0))</f>
        <v>20</v>
      </c>
      <c r="F449" s="18" t="str">
        <f>INDEX(emprunts!P:P,MATCH($A449,emprunts!$A:$A,0))</f>
        <v>Courbes</v>
      </c>
      <c r="G449" s="126" t="str">
        <f>IF(LEFT(A449,3)="vx_","vx",INDEX(Categorie,MATCH($A449,emprunts!$A$2:$A$149,0)))</f>
        <v>Struct</v>
      </c>
      <c r="H449">
        <v>2008</v>
      </c>
      <c r="I449">
        <f t="shared" si="56"/>
        <v>1</v>
      </c>
      <c r="N449" s="14">
        <v>2000000</v>
      </c>
      <c r="O449" s="14">
        <v>1932837</v>
      </c>
      <c r="Q449" s="14">
        <v>55510</v>
      </c>
      <c r="R449" s="14">
        <v>67163.5</v>
      </c>
      <c r="S449" s="14"/>
      <c r="T449" s="14">
        <v>0</v>
      </c>
      <c r="U449" s="14">
        <f>SUM(Q449:T449)</f>
        <v>122673.5</v>
      </c>
      <c r="V449" s="14">
        <f t="shared" si="59"/>
        <v>0</v>
      </c>
      <c r="X449" s="85">
        <f t="shared" si="57"/>
        <v>0</v>
      </c>
      <c r="Y449" s="21">
        <f t="shared" si="54"/>
        <v>2.8228982255178354E-2</v>
      </c>
      <c r="AA449" s="55">
        <f t="shared" si="60"/>
        <v>55510</v>
      </c>
      <c r="AB449" s="55">
        <f t="shared" si="61"/>
        <v>0.5</v>
      </c>
      <c r="AC449" s="55">
        <f t="shared" si="55"/>
        <v>1966418.75</v>
      </c>
    </row>
    <row r="450" spans="1:29">
      <c r="A450" t="s">
        <v>246</v>
      </c>
      <c r="B450" s="16" t="str">
        <f>INDEX(emprunts!C:C,MATCH($A450,emprunts!A:A,0))</f>
        <v>Dexia CL</v>
      </c>
      <c r="C450" s="18">
        <f>INDEX(emprunts!M:M,MATCH($A450,emprunts!$A:$A,0))</f>
        <v>39350</v>
      </c>
      <c r="D450" s="18">
        <f>IF(INDEX(emprunts!O:O,MATCH($A450,emprunts!$A:$A,0))="",INDEX(emprunts!N:N,MATCH($A450,emprunts!$A:$A,0)),MIN(INDEX(emprunts!N:N,MATCH($A450,emprunts!$A:$A,0)),INDEX(emprunts!O:O,MATCH($A450,emprunts!$A:$A,0))))</f>
        <v>40179</v>
      </c>
      <c r="E450" s="52">
        <f>INDEX(emprunts!I:I,MATCH($A450,emprunts!$A:$A,0))</f>
        <v>25.42</v>
      </c>
      <c r="F450" s="18" t="str">
        <f>INDEX(emprunts!P:P,MATCH($A450,emprunts!$A:$A,0))</f>
        <v>Barrière avec multiplicateur</v>
      </c>
      <c r="G450" s="126" t="str">
        <f>IF(LEFT(A450,3)="vx_","vx",INDEX(Categorie,MATCH($A450,emprunts!$A$2:$A$149,0)))</f>
        <v>Struct</v>
      </c>
      <c r="H450">
        <v>2008</v>
      </c>
      <c r="I450">
        <f t="shared" si="56"/>
        <v>1</v>
      </c>
      <c r="N450" s="14">
        <v>8721943.1600000001</v>
      </c>
      <c r="O450" s="14">
        <v>10721943</v>
      </c>
      <c r="Q450" s="14">
        <v>8819.56</v>
      </c>
      <c r="R450" s="14">
        <v>0</v>
      </c>
      <c r="S450" s="14"/>
      <c r="T450" s="14">
        <v>0</v>
      </c>
      <c r="U450" s="14">
        <f>SUM(Q450:S450)</f>
        <v>8819.56</v>
      </c>
      <c r="V450" s="14">
        <f t="shared" si="59"/>
        <v>0</v>
      </c>
      <c r="X450" s="85">
        <f t="shared" si="57"/>
        <v>0</v>
      </c>
      <c r="Y450" s="21">
        <f t="shared" si="54"/>
        <v>8.2257105824942354E-4</v>
      </c>
      <c r="AA450" s="55">
        <f t="shared" si="60"/>
        <v>8819.56</v>
      </c>
      <c r="AB450" s="55">
        <f t="shared" si="61"/>
        <v>2000000</v>
      </c>
      <c r="AC450" s="55">
        <f t="shared" si="55"/>
        <v>10721943</v>
      </c>
    </row>
    <row r="451" spans="1:29">
      <c r="A451" t="s">
        <v>248</v>
      </c>
      <c r="B451" s="16" t="str">
        <f>INDEX(emprunts!C:C,MATCH($A451,emprunts!A:A,0))</f>
        <v>Dexia CL</v>
      </c>
      <c r="C451" s="18">
        <f>INDEX(emprunts!M:M,MATCH($A451,emprunts!$A:$A,0))</f>
        <v>39539</v>
      </c>
      <c r="D451" s="18">
        <f>IF(INDEX(emprunts!O:O,MATCH($A451,emprunts!$A:$A,0))="",INDEX(emprunts!N:N,MATCH($A451,emprunts!$A:$A,0)),MIN(INDEX(emprunts!N:N,MATCH($A451,emprunts!$A:$A,0)),INDEX(emprunts!O:O,MATCH($A451,emprunts!$A:$A,0))))</f>
        <v>39783</v>
      </c>
      <c r="E451" s="52">
        <f>INDEX(emprunts!I:I,MATCH($A451,emprunts!$A:$A,0))</f>
        <v>26.42</v>
      </c>
      <c r="F451" s="18" t="str">
        <f>INDEX(emprunts!P:P,MATCH($A451,emprunts!$A:$A,0))</f>
        <v>Change</v>
      </c>
      <c r="G451" s="126" t="str">
        <f>IF(LEFT(A451,3)="vx_","vx",INDEX(Categorie,MATCH($A451,emprunts!$A$2:$A$149,0)))</f>
        <v>Struct</v>
      </c>
      <c r="H451">
        <v>2008</v>
      </c>
      <c r="I451">
        <f t="shared" si="56"/>
        <v>1</v>
      </c>
      <c r="N451" s="14">
        <v>9375000</v>
      </c>
      <c r="O451" s="14">
        <v>0</v>
      </c>
      <c r="Q451" s="14">
        <v>154196.68</v>
      </c>
      <c r="R451" s="14">
        <v>375000</v>
      </c>
      <c r="S451" s="14"/>
      <c r="T451" s="14">
        <v>0</v>
      </c>
      <c r="U451" s="14">
        <f>SUM(Q451:S451)</f>
        <v>529196.67999999993</v>
      </c>
      <c r="V451" s="14">
        <f t="shared" si="59"/>
        <v>0</v>
      </c>
      <c r="X451" s="85">
        <f t="shared" si="57"/>
        <v>9000000</v>
      </c>
      <c r="Y451" s="21">
        <f t="shared" si="54"/>
        <v>2.5106184097245451E-2</v>
      </c>
      <c r="AA451" s="55">
        <f t="shared" si="60"/>
        <v>154196.68</v>
      </c>
      <c r="AB451" s="55" t="str">
        <f t="shared" si="61"/>
        <v/>
      </c>
      <c r="AC451" s="55">
        <f t="shared" si="55"/>
        <v>6141780.8219178086</v>
      </c>
    </row>
    <row r="452" spans="1:29">
      <c r="A452" t="s">
        <v>250</v>
      </c>
      <c r="B452" s="16" t="str">
        <f>INDEX(emprunts!C:C,MATCH($A452,emprunts!A:A,0))</f>
        <v>Caisse d'Épargne</v>
      </c>
      <c r="C452" s="18">
        <f>INDEX(emprunts!M:M,MATCH($A452,emprunts!$A:$A,0))</f>
        <v>39447</v>
      </c>
      <c r="D452" s="18">
        <f>IF(INDEX(emprunts!O:O,MATCH($A452,emprunts!$A:$A,0))="",INDEX(emprunts!N:N,MATCH($A452,emprunts!$A:$A,0)),MIN(INDEX(emprunts!N:N,MATCH($A452,emprunts!$A:$A,0)),INDEX(emprunts!O:O,MATCH($A452,emprunts!$A:$A,0))))</f>
        <v>41330</v>
      </c>
      <c r="E452" s="52">
        <f>INDEX(emprunts!I:I,MATCH($A452,emprunts!$A:$A,0))</f>
        <v>20</v>
      </c>
      <c r="F452" s="18" t="str">
        <f>INDEX(emprunts!P:P,MATCH($A452,emprunts!$A:$A,0))</f>
        <v>Courbes</v>
      </c>
      <c r="G452" s="126" t="str">
        <f>IF(LEFT(A452,3)="vx_","vx",INDEX(Categorie,MATCH($A452,emprunts!$A$2:$A$149,0)))</f>
        <v>Struct</v>
      </c>
      <c r="H452">
        <v>2008</v>
      </c>
      <c r="I452">
        <f t="shared" si="56"/>
        <v>1</v>
      </c>
      <c r="N452" s="14">
        <v>5000000</v>
      </c>
      <c r="O452" s="14">
        <v>5000000</v>
      </c>
      <c r="Q452" s="14">
        <v>54519.44</v>
      </c>
      <c r="R452" s="14">
        <v>0</v>
      </c>
      <c r="S452" s="14"/>
      <c r="T452" s="14">
        <v>0</v>
      </c>
      <c r="U452" s="14">
        <f>SUM(Q452:S452)</f>
        <v>54519.44</v>
      </c>
      <c r="V452" s="14">
        <f t="shared" si="59"/>
        <v>0</v>
      </c>
      <c r="X452" s="85">
        <f t="shared" si="57"/>
        <v>0</v>
      </c>
      <c r="Y452" s="21">
        <f t="shared" si="54"/>
        <v>1.0903888E-2</v>
      </c>
      <c r="AA452" s="55">
        <f t="shared" si="60"/>
        <v>54519.44</v>
      </c>
      <c r="AB452" s="55">
        <f t="shared" si="61"/>
        <v>0</v>
      </c>
      <c r="AC452" s="55">
        <f t="shared" si="55"/>
        <v>5000000</v>
      </c>
    </row>
    <row r="453" spans="1:29">
      <c r="A453" t="s">
        <v>251</v>
      </c>
      <c r="B453" s="16" t="str">
        <f>INDEX(emprunts!C:C,MATCH($A453,emprunts!A:A,0))</f>
        <v>Dexia CL</v>
      </c>
      <c r="C453" s="18">
        <f>INDEX(emprunts!M:M,MATCH($A453,emprunts!$A:$A,0))</f>
        <v>40148</v>
      </c>
      <c r="D453" s="18">
        <f>IF(INDEX(emprunts!O:O,MATCH($A453,emprunts!$A:$A,0))="",INDEX(emprunts!N:N,MATCH($A453,emprunts!$A:$A,0)),MIN(INDEX(emprunts!N:N,MATCH($A453,emprunts!$A:$A,0)),INDEX(emprunts!O:O,MATCH($A453,emprunts!$A:$A,0))))</f>
        <v>41030</v>
      </c>
      <c r="E453" s="52">
        <f>INDEX(emprunts!I:I,MATCH($A453,emprunts!$A:$A,0))</f>
        <v>20.83</v>
      </c>
      <c r="F453" s="18" t="str">
        <f>INDEX(emprunts!P:P,MATCH($A453,emprunts!$A:$A,0))</f>
        <v>Change</v>
      </c>
      <c r="G453" s="126" t="str">
        <f>IF(LEFT(A453,3)="vx_","vx",INDEX(Categorie,MATCH($A453,emprunts!$A$2:$A$149,0)))</f>
        <v>Struct</v>
      </c>
      <c r="H453">
        <v>2008</v>
      </c>
      <c r="I453">
        <f t="shared" si="56"/>
        <v>0</v>
      </c>
      <c r="N453" s="14">
        <v>0</v>
      </c>
      <c r="O453" s="14">
        <v>0</v>
      </c>
      <c r="Q453" s="14">
        <v>0</v>
      </c>
      <c r="R453" s="14">
        <v>0</v>
      </c>
      <c r="S453" s="14"/>
      <c r="T453" s="14">
        <v>0</v>
      </c>
      <c r="U453" s="14">
        <f>SUM(Q453:S453)</f>
        <v>0</v>
      </c>
      <c r="V453" s="14">
        <f t="shared" si="59"/>
        <v>0</v>
      </c>
      <c r="X453" s="85">
        <f t="shared" si="57"/>
        <v>0</v>
      </c>
      <c r="Y453" s="21" t="str">
        <f t="shared" si="54"/>
        <v/>
      </c>
      <c r="AA453" s="55">
        <f t="shared" si="60"/>
        <v>0</v>
      </c>
      <c r="AB453" s="55">
        <f t="shared" si="61"/>
        <v>0</v>
      </c>
      <c r="AC453" s="55">
        <f t="shared" si="55"/>
        <v>0</v>
      </c>
    </row>
    <row r="454" spans="1:29">
      <c r="A454" t="s">
        <v>253</v>
      </c>
      <c r="B454" s="16" t="str">
        <f>INDEX(emprunts!C:C,MATCH($A454,emprunts!A:A,0))</f>
        <v>Dexia CL</v>
      </c>
      <c r="C454" s="18">
        <f>INDEX(emprunts!M:M,MATCH($A454,emprunts!$A:$A,0))</f>
        <v>40176</v>
      </c>
      <c r="D454" s="18">
        <f>IF(INDEX(emprunts!O:O,MATCH($A454,emprunts!$A:$A,0))="",INDEX(emprunts!N:N,MATCH($A454,emprunts!$A:$A,0)),MIN(INDEX(emprunts!N:N,MATCH($A454,emprunts!$A:$A,0)),INDEX(emprunts!O:O,MATCH($A454,emprunts!$A:$A,0))))</f>
        <v>40299</v>
      </c>
      <c r="E454" s="52">
        <f>INDEX(emprunts!I:I,MATCH($A454,emprunts!$A:$A,0))</f>
        <v>20.83</v>
      </c>
      <c r="F454" s="18" t="str">
        <f>INDEX(emprunts!P:P,MATCH($A454,emprunts!$A:$A,0))</f>
        <v>Courbes</v>
      </c>
      <c r="G454" s="126" t="str">
        <f>IF(LEFT(A454,3)="vx_","vx",INDEX(Categorie,MATCH($A454,emprunts!$A$2:$A$149,0)))</f>
        <v>Struct</v>
      </c>
      <c r="H454">
        <v>2008</v>
      </c>
      <c r="I454">
        <f t="shared" si="56"/>
        <v>0</v>
      </c>
      <c r="N454" s="14"/>
      <c r="O454" s="14"/>
      <c r="Q454" s="14"/>
      <c r="R454" s="14"/>
      <c r="S454" s="14"/>
      <c r="T454" s="14"/>
      <c r="U454" s="14"/>
      <c r="V454" s="14" t="str">
        <f t="shared" si="59"/>
        <v/>
      </c>
      <c r="X454" s="85">
        <f t="shared" si="57"/>
        <v>0</v>
      </c>
      <c r="Y454" s="21" t="str">
        <f t="shared" si="54"/>
        <v/>
      </c>
      <c r="AA454" s="55">
        <f t="shared" si="60"/>
        <v>0</v>
      </c>
      <c r="AB454" s="55">
        <f t="shared" si="61"/>
        <v>0</v>
      </c>
      <c r="AC454" s="55">
        <f t="shared" si="55"/>
        <v>0</v>
      </c>
    </row>
    <row r="455" spans="1:29">
      <c r="A455" t="s">
        <v>255</v>
      </c>
      <c r="B455" s="16" t="str">
        <f>INDEX(emprunts!C:C,MATCH($A455,emprunts!A:A,0))</f>
        <v>Dexia CL</v>
      </c>
      <c r="C455" s="18">
        <f>INDEX(emprunts!M:M,MATCH($A455,emprunts!$A:$A,0))</f>
        <v>39668</v>
      </c>
      <c r="D455" s="18">
        <f>IF(INDEX(emprunts!O:O,MATCH($A455,emprunts!$A:$A,0))="",INDEX(emprunts!N:N,MATCH($A455,emprunts!$A:$A,0)),MIN(INDEX(emprunts!N:N,MATCH($A455,emprunts!$A:$A,0)),INDEX(emprunts!O:O,MATCH($A455,emprunts!$A:$A,0))))</f>
        <v>40848</v>
      </c>
      <c r="E455" s="52">
        <f>INDEX(emprunts!I:I,MATCH($A455,emprunts!$A:$A,0))</f>
        <v>25.33</v>
      </c>
      <c r="F455" s="18" t="str">
        <f>INDEX(emprunts!P:P,MATCH($A455,emprunts!$A:$A,0))</f>
        <v>Change</v>
      </c>
      <c r="G455" s="126" t="str">
        <f>IF(LEFT(A455,3)="vx_","vx",INDEX(Categorie,MATCH($A455,emprunts!$A$2:$A$149,0)))</f>
        <v>Struct</v>
      </c>
      <c r="H455">
        <v>2008</v>
      </c>
      <c r="I455">
        <f t="shared" si="56"/>
        <v>1</v>
      </c>
      <c r="N455" s="14">
        <v>11085434.300000001</v>
      </c>
      <c r="O455" s="14">
        <v>11085434</v>
      </c>
      <c r="Q455" s="14">
        <v>348.92</v>
      </c>
      <c r="R455" s="14">
        <v>0</v>
      </c>
      <c r="S455" s="14"/>
      <c r="T455" s="14">
        <v>34919.120000000003</v>
      </c>
      <c r="U455" s="14">
        <f>SUM(Q455:S455)</f>
        <v>348.92</v>
      </c>
      <c r="V455" s="14">
        <f t="shared" si="59"/>
        <v>0</v>
      </c>
      <c r="X455" s="85">
        <f t="shared" si="57"/>
        <v>0</v>
      </c>
      <c r="Y455" s="21">
        <f t="shared" si="54"/>
        <v>8.0085425302403521E-3</v>
      </c>
      <c r="Z455" t="s">
        <v>628</v>
      </c>
      <c r="AA455" s="55">
        <f t="shared" si="60"/>
        <v>35268.04</v>
      </c>
      <c r="AB455" s="55" t="str">
        <f t="shared" si="61"/>
        <v/>
      </c>
      <c r="AC455" s="55">
        <f t="shared" si="55"/>
        <v>4403802.5479452051</v>
      </c>
    </row>
    <row r="456" spans="1:29">
      <c r="A456" t="s">
        <v>256</v>
      </c>
      <c r="B456" s="16" t="str">
        <f>INDEX(emprunts!C:C,MATCH($A456,emprunts!A:A,0))</f>
        <v>Dexia CL</v>
      </c>
      <c r="C456" s="18">
        <f>INDEX(emprunts!M:M,MATCH($A456,emprunts!$A:$A,0))</f>
        <v>39668</v>
      </c>
      <c r="D456" s="18">
        <f>IF(INDEX(emprunts!O:O,MATCH($A456,emprunts!$A:$A,0))="",INDEX(emprunts!N:N,MATCH($A456,emprunts!$A:$A,0)),MIN(INDEX(emprunts!N:N,MATCH($A456,emprunts!$A:$A,0)),INDEX(emprunts!O:O,MATCH($A456,emprunts!$A:$A,0))))</f>
        <v>41214</v>
      </c>
      <c r="E456" s="52">
        <f>INDEX(emprunts!I:I,MATCH($A456,emprunts!$A:$A,0))</f>
        <v>25.33</v>
      </c>
      <c r="F456" s="18" t="str">
        <f>INDEX(emprunts!P:P,MATCH($A456,emprunts!$A:$A,0))</f>
        <v>Change</v>
      </c>
      <c r="G456" s="126" t="str">
        <f>IF(LEFT(A456,3)="vx_","vx",INDEX(Categorie,MATCH($A456,emprunts!$A$2:$A$149,0)))</f>
        <v>Struct</v>
      </c>
      <c r="H456">
        <v>2008</v>
      </c>
      <c r="I456">
        <f t="shared" si="56"/>
        <v>1</v>
      </c>
      <c r="N456" s="14">
        <v>11085434.300000001</v>
      </c>
      <c r="O456" s="14">
        <v>11085434</v>
      </c>
      <c r="Q456" s="14">
        <v>232.62</v>
      </c>
      <c r="R456" s="14">
        <v>0</v>
      </c>
      <c r="S456" s="14"/>
      <c r="T456" s="14">
        <v>34734.36</v>
      </c>
      <c r="U456" s="14">
        <f>SUM(Q456:S456)</f>
        <v>232.62</v>
      </c>
      <c r="V456" s="14">
        <f t="shared" si="59"/>
        <v>0</v>
      </c>
      <c r="X456" s="85">
        <f t="shared" si="57"/>
        <v>0</v>
      </c>
      <c r="Y456" s="21">
        <f t="shared" si="54"/>
        <v>7.9401788838864822E-3</v>
      </c>
      <c r="Z456" t="s">
        <v>628</v>
      </c>
      <c r="AA456" s="55">
        <f t="shared" si="60"/>
        <v>34966.980000000003</v>
      </c>
      <c r="AB456" s="55" t="str">
        <f t="shared" si="61"/>
        <v/>
      </c>
      <c r="AC456" s="55">
        <f t="shared" si="55"/>
        <v>4403802.5479452051</v>
      </c>
    </row>
    <row r="457" spans="1:29">
      <c r="A457" t="s">
        <v>257</v>
      </c>
      <c r="B457" s="16" t="str">
        <f>INDEX(emprunts!C:C,MATCH($A457,emprunts!A:A,0))</f>
        <v>Dexia CL</v>
      </c>
      <c r="C457" s="18">
        <f>INDEX(emprunts!M:M,MATCH($A457,emprunts!$A:$A,0))</f>
        <v>41214</v>
      </c>
      <c r="D457" s="18">
        <f>IF(INDEX(emprunts!O:O,MATCH($A457,emprunts!$A:$A,0))="",INDEX(emprunts!N:N,MATCH($A457,emprunts!$A:$A,0)),MIN(INDEX(emprunts!N:N,MATCH($A457,emprunts!$A:$A,0)),INDEX(emprunts!O:O,MATCH($A457,emprunts!$A:$A,0))))</f>
        <v>43040</v>
      </c>
      <c r="E457" s="52">
        <f>INDEX(emprunts!I:I,MATCH($A457,emprunts!$A:$A,0))</f>
        <v>25</v>
      </c>
      <c r="F457" s="18" t="str">
        <f>INDEX(emprunts!P:P,MATCH($A457,emprunts!$A:$A,0))</f>
        <v>Change</v>
      </c>
      <c r="G457" s="126" t="str">
        <f>IF(LEFT(A457,3)="vx_","vx",INDEX(Categorie,MATCH($A457,emprunts!$A$2:$A$149,0)))</f>
        <v>Struct</v>
      </c>
      <c r="H457">
        <v>2008</v>
      </c>
      <c r="I457">
        <f t="shared" si="56"/>
        <v>0</v>
      </c>
      <c r="N457" s="14"/>
      <c r="O457" s="14"/>
      <c r="Q457" s="14"/>
      <c r="R457" s="14"/>
      <c r="S457" s="14"/>
      <c r="T457" s="14"/>
      <c r="U457" s="14"/>
      <c r="V457" s="14" t="str">
        <f t="shared" si="59"/>
        <v/>
      </c>
      <c r="X457" s="85">
        <f t="shared" si="57"/>
        <v>0</v>
      </c>
      <c r="Y457" s="21" t="str">
        <f t="shared" si="54"/>
        <v/>
      </c>
      <c r="AA457" s="55">
        <f t="shared" si="60"/>
        <v>0</v>
      </c>
      <c r="AB457" s="55">
        <f t="shared" si="61"/>
        <v>0</v>
      </c>
      <c r="AC457" s="55">
        <f t="shared" si="55"/>
        <v>0</v>
      </c>
    </row>
    <row r="458" spans="1:29">
      <c r="A458" t="s">
        <v>261</v>
      </c>
      <c r="B458" s="16" t="str">
        <f>INDEX(emprunts!C:C,MATCH($A458,emprunts!A:A,0))</f>
        <v>Dexia CL</v>
      </c>
      <c r="C458" s="18">
        <f>INDEX(emprunts!M:M,MATCH($A458,emprunts!$A:$A,0))</f>
        <v>39783</v>
      </c>
      <c r="D458" s="18">
        <f>IF(INDEX(emprunts!O:O,MATCH($A458,emprunts!$A:$A,0))="",INDEX(emprunts!N:N,MATCH($A458,emprunts!$A:$A,0)),MIN(INDEX(emprunts!N:N,MATCH($A458,emprunts!$A:$A,0)),INDEX(emprunts!O:O,MATCH($A458,emprunts!$A:$A,0))))</f>
        <v>40513</v>
      </c>
      <c r="E458" s="52">
        <f>INDEX(emprunts!I:I,MATCH($A458,emprunts!$A:$A,0))</f>
        <v>17</v>
      </c>
      <c r="F458" s="18" t="str">
        <f>INDEX(emprunts!P:P,MATCH($A458,emprunts!$A:$A,0))</f>
        <v>Change</v>
      </c>
      <c r="G458" s="126" t="str">
        <f>IF(LEFT(A458,3)="vx_","vx",INDEX(Categorie,MATCH($A458,emprunts!$A$2:$A$149,0)))</f>
        <v>Struct</v>
      </c>
      <c r="H458">
        <v>2008</v>
      </c>
      <c r="I458">
        <f t="shared" si="56"/>
        <v>1</v>
      </c>
      <c r="N458" s="14">
        <v>11246513</v>
      </c>
      <c r="O458" s="14">
        <v>11246513</v>
      </c>
      <c r="Q458" s="14">
        <v>0</v>
      </c>
      <c r="R458" s="14">
        <v>0</v>
      </c>
      <c r="S458" s="14"/>
      <c r="T458" s="14">
        <v>28022.560000000001</v>
      </c>
      <c r="U458" s="14">
        <f>SUM(Q458:S458)</f>
        <v>0</v>
      </c>
      <c r="V458" s="14">
        <f t="shared" si="59"/>
        <v>0</v>
      </c>
      <c r="X458" s="85">
        <f t="shared" si="57"/>
        <v>0</v>
      </c>
      <c r="Y458" s="21">
        <f t="shared" si="54"/>
        <v>3.0315276091946605E-2</v>
      </c>
      <c r="AA458" s="55">
        <f t="shared" si="60"/>
        <v>28022.560000000001</v>
      </c>
      <c r="AB458" s="55" t="str">
        <f t="shared" si="61"/>
        <v/>
      </c>
      <c r="AC458" s="55">
        <f t="shared" si="55"/>
        <v>924370.93150684924</v>
      </c>
    </row>
    <row r="459" spans="1:29">
      <c r="A459" t="s">
        <v>263</v>
      </c>
      <c r="B459" s="16" t="str">
        <f>INDEX(emprunts!C:C,MATCH($A459,emprunts!A:A,0))</f>
        <v>Dexia CL</v>
      </c>
      <c r="C459" s="18">
        <f>INDEX(emprunts!M:M,MATCH($A459,emprunts!$A:$A,0))</f>
        <v>39783</v>
      </c>
      <c r="D459" s="18">
        <f>IF(INDEX(emprunts!O:O,MATCH($A459,emprunts!$A:$A,0))="",INDEX(emprunts!N:N,MATCH($A459,emprunts!$A:$A,0)),MIN(INDEX(emprunts!N:N,MATCH($A459,emprunts!$A:$A,0)),INDEX(emprunts!O:O,MATCH($A459,emprunts!$A:$A,0))))</f>
        <v>41244</v>
      </c>
      <c r="E459" s="52">
        <f>INDEX(emprunts!I:I,MATCH($A459,emprunts!$A:$A,0))</f>
        <v>25</v>
      </c>
      <c r="F459" s="18" t="str">
        <f>INDEX(emprunts!P:P,MATCH($A459,emprunts!$A:$A,0))</f>
        <v>Pente</v>
      </c>
      <c r="G459" s="126" t="str">
        <f>IF(LEFT(A459,3)="vx_","vx",INDEX(Categorie,MATCH($A459,emprunts!$A$2:$A$149,0)))</f>
        <v>Struct</v>
      </c>
      <c r="H459">
        <v>2008</v>
      </c>
      <c r="I459">
        <f t="shared" si="56"/>
        <v>1</v>
      </c>
      <c r="N459" s="14">
        <v>9000000</v>
      </c>
      <c r="O459" s="14">
        <v>9000000</v>
      </c>
      <c r="Q459" s="14">
        <v>0</v>
      </c>
      <c r="R459" s="14">
        <v>0</v>
      </c>
      <c r="S459" s="14"/>
      <c r="T459" s="14">
        <v>16125</v>
      </c>
      <c r="U459" s="14">
        <f>SUM(Q459:S459)</f>
        <v>0</v>
      </c>
      <c r="V459" s="14">
        <f t="shared" si="59"/>
        <v>0</v>
      </c>
      <c r="X459" s="85">
        <f t="shared" si="57"/>
        <v>0</v>
      </c>
      <c r="Y459" s="21">
        <f t="shared" si="54"/>
        <v>2.1798611111111112E-2</v>
      </c>
      <c r="AA459" s="55">
        <f t="shared" si="60"/>
        <v>16125</v>
      </c>
      <c r="AB459" s="55" t="str">
        <f t="shared" si="61"/>
        <v/>
      </c>
      <c r="AC459" s="55">
        <f t="shared" si="55"/>
        <v>739726.02739726019</v>
      </c>
    </row>
    <row r="460" spans="1:29">
      <c r="A460" t="s">
        <v>265</v>
      </c>
      <c r="B460" s="16" t="str">
        <f>INDEX(emprunts!C:C,MATCH($A460,emprunts!A:A,0))</f>
        <v>Dexia CL</v>
      </c>
      <c r="C460" s="18">
        <f>INDEX(emprunts!M:M,MATCH($A460,emprunts!$A:$A,0))</f>
        <v>39899</v>
      </c>
      <c r="D460" s="18">
        <f>IF(INDEX(emprunts!O:O,MATCH($A460,emprunts!$A:$A,0))="",INDEX(emprunts!N:N,MATCH($A460,emprunts!$A:$A,0)),MIN(INDEX(emprunts!N:N,MATCH($A460,emprunts!$A:$A,0)),INDEX(emprunts!O:O,MATCH($A460,emprunts!$A:$A,0))))</f>
        <v>47209</v>
      </c>
      <c r="E460" s="52">
        <f>INDEX(emprunts!I:I,MATCH($A460,emprunts!$A:$A,0))</f>
        <v>20</v>
      </c>
      <c r="F460" s="18" t="str">
        <f>INDEX(emprunts!P:P,MATCH($A460,emprunts!$A:$A,0))</f>
        <v>Fixe</v>
      </c>
      <c r="G460" s="126" t="str">
        <f>IF(LEFT(A460,3)="vx_","vx",INDEX(Categorie,MATCH($A460,emprunts!$A$2:$A$149,0)))</f>
        <v>Non_st</v>
      </c>
      <c r="H460">
        <v>2008</v>
      </c>
      <c r="I460">
        <f t="shared" si="56"/>
        <v>0</v>
      </c>
      <c r="N460" s="14"/>
      <c r="O460" s="14"/>
      <c r="Q460" s="14"/>
      <c r="R460" s="14"/>
      <c r="S460" s="14"/>
      <c r="T460" s="14"/>
      <c r="U460" s="14"/>
      <c r="V460" s="14" t="str">
        <f t="shared" si="59"/>
        <v/>
      </c>
      <c r="X460" s="85">
        <f t="shared" si="57"/>
        <v>0</v>
      </c>
      <c r="Y460" s="21" t="str">
        <f t="shared" si="54"/>
        <v/>
      </c>
      <c r="AA460" s="55">
        <f t="shared" si="60"/>
        <v>0</v>
      </c>
      <c r="AB460" s="55">
        <f t="shared" si="61"/>
        <v>0</v>
      </c>
      <c r="AC460" s="55">
        <f t="shared" si="55"/>
        <v>0</v>
      </c>
    </row>
    <row r="461" spans="1:29">
      <c r="A461" t="s">
        <v>267</v>
      </c>
      <c r="B461" s="16" t="str">
        <f>INDEX(emprunts!C:C,MATCH($A461,emprunts!A:A,0))</f>
        <v>Société Générale</v>
      </c>
      <c r="C461" s="18">
        <f>INDEX(emprunts!M:M,MATCH($A461,emprunts!$A:$A,0))</f>
        <v>39904</v>
      </c>
      <c r="D461" s="18">
        <f>IF(INDEX(emprunts!O:O,MATCH($A461,emprunts!$A:$A,0))="",INDEX(emprunts!N:N,MATCH($A461,emprunts!$A:$A,0)),MIN(INDEX(emprunts!N:N,MATCH($A461,emprunts!$A:$A,0)),INDEX(emprunts!O:O,MATCH($A461,emprunts!$A:$A,0))))</f>
        <v>40452</v>
      </c>
      <c r="E461" s="52">
        <f>INDEX(emprunts!I:I,MATCH($A461,emprunts!$A:$A,0))</f>
        <v>18</v>
      </c>
      <c r="F461" s="18" t="str">
        <f>INDEX(emprunts!P:P,MATCH($A461,emprunts!$A:$A,0))</f>
        <v>Change</v>
      </c>
      <c r="G461" s="126" t="str">
        <f>IF(LEFT(A461,3)="vx_","vx",INDEX(Categorie,MATCH($A461,emprunts!$A$2:$A$149,0)))</f>
        <v>Struct</v>
      </c>
      <c r="H461">
        <v>2008</v>
      </c>
      <c r="I461">
        <f t="shared" si="56"/>
        <v>0</v>
      </c>
      <c r="N461" s="14"/>
      <c r="O461" s="14"/>
      <c r="Q461" s="14"/>
      <c r="R461" s="14"/>
      <c r="S461" s="14"/>
      <c r="T461" s="14"/>
      <c r="U461" s="14"/>
      <c r="V461" s="14" t="str">
        <f t="shared" si="59"/>
        <v/>
      </c>
      <c r="X461" s="85">
        <f t="shared" si="57"/>
        <v>0</v>
      </c>
      <c r="Y461" s="21" t="str">
        <f t="shared" si="54"/>
        <v/>
      </c>
      <c r="AA461" s="55">
        <f t="shared" si="60"/>
        <v>0</v>
      </c>
      <c r="AB461" s="55">
        <f t="shared" si="61"/>
        <v>0</v>
      </c>
      <c r="AC461" s="55">
        <f t="shared" si="55"/>
        <v>0</v>
      </c>
    </row>
    <row r="462" spans="1:29">
      <c r="A462" t="s">
        <v>269</v>
      </c>
      <c r="B462" s="16" t="str">
        <f>INDEX(emprunts!C:C,MATCH($A462,emprunts!A:A,0))</f>
        <v>Dexia CL</v>
      </c>
      <c r="C462" s="18">
        <f>INDEX(emprunts!M:M,MATCH($A462,emprunts!$A:$A,0))</f>
        <v>40087</v>
      </c>
      <c r="D462" s="18">
        <f>IF(INDEX(emprunts!O:O,MATCH($A462,emprunts!$A:$A,0))="",INDEX(emprunts!N:N,MATCH($A462,emprunts!$A:$A,0)),MIN(INDEX(emprunts!N:N,MATCH($A462,emprunts!$A:$A,0)),INDEX(emprunts!O:O,MATCH($A462,emprunts!$A:$A,0))))</f>
        <v>40452</v>
      </c>
      <c r="E462" s="52">
        <f>INDEX(emprunts!I:I,MATCH($A462,emprunts!$A:$A,0))</f>
        <v>16</v>
      </c>
      <c r="F462" s="18" t="str">
        <f>INDEX(emprunts!P:P,MATCH($A462,emprunts!$A:$A,0))</f>
        <v>Change</v>
      </c>
      <c r="G462" s="126" t="str">
        <f>IF(LEFT(A462,3)="vx_","vx",INDEX(Categorie,MATCH($A462,emprunts!$A$2:$A$149,0)))</f>
        <v>Struct</v>
      </c>
      <c r="H462">
        <v>2008</v>
      </c>
      <c r="I462">
        <f t="shared" si="56"/>
        <v>0</v>
      </c>
      <c r="N462" s="14"/>
      <c r="O462" s="14"/>
      <c r="Q462" s="14"/>
      <c r="R462" s="14"/>
      <c r="S462" s="14"/>
      <c r="T462" s="14"/>
      <c r="U462" s="14"/>
      <c r="V462" s="14" t="str">
        <f t="shared" si="59"/>
        <v/>
      </c>
      <c r="X462" s="85">
        <f t="shared" si="57"/>
        <v>0</v>
      </c>
      <c r="Y462" s="21" t="str">
        <f t="shared" si="54"/>
        <v/>
      </c>
      <c r="AA462" s="55">
        <f t="shared" si="60"/>
        <v>0</v>
      </c>
      <c r="AB462" s="55">
        <f t="shared" si="61"/>
        <v>0</v>
      </c>
      <c r="AC462" s="55">
        <f t="shared" si="55"/>
        <v>0</v>
      </c>
    </row>
    <row r="463" spans="1:29">
      <c r="A463" t="s">
        <v>272</v>
      </c>
      <c r="B463" s="16" t="str">
        <f>INDEX(emprunts!C:C,MATCH($A463,emprunts!A:A,0))</f>
        <v>Dexia CL</v>
      </c>
      <c r="C463" s="18">
        <f>INDEX(emprunts!M:M,MATCH($A463,emprunts!$A:$A,0))</f>
        <v>40133</v>
      </c>
      <c r="D463" s="18">
        <f>IF(INDEX(emprunts!O:O,MATCH($A463,emprunts!$A:$A,0))="",INDEX(emprunts!N:N,MATCH($A463,emprunts!$A:$A,0)),MIN(INDEX(emprunts!N:N,MATCH($A463,emprunts!$A:$A,0)),INDEX(emprunts!O:O,MATCH($A463,emprunts!$A:$A,0))))</f>
        <v>40878</v>
      </c>
      <c r="E463" s="52">
        <f>INDEX(emprunts!I:I,MATCH($A463,emprunts!$A:$A,0))</f>
        <v>25</v>
      </c>
      <c r="F463" s="18" t="str">
        <f>INDEX(emprunts!P:P,MATCH($A463,emprunts!$A:$A,0))</f>
        <v>Variable</v>
      </c>
      <c r="G463" s="126" t="str">
        <f>IF(LEFT(A463,3)="vx_","vx",INDEX(Categorie,MATCH($A463,emprunts!$A$2:$A$149,0)))</f>
        <v>Non_st</v>
      </c>
      <c r="H463">
        <v>2008</v>
      </c>
      <c r="I463">
        <f t="shared" si="56"/>
        <v>0</v>
      </c>
      <c r="N463" s="14"/>
      <c r="O463" s="14"/>
      <c r="Q463" s="14"/>
      <c r="R463" s="14"/>
      <c r="S463" s="14"/>
      <c r="T463" s="14"/>
      <c r="U463" s="14"/>
      <c r="V463" s="14" t="str">
        <f t="shared" si="59"/>
        <v/>
      </c>
      <c r="X463" s="85">
        <f t="shared" si="57"/>
        <v>0</v>
      </c>
      <c r="Y463" s="21" t="str">
        <f t="shared" si="54"/>
        <v/>
      </c>
      <c r="AA463" s="55">
        <f t="shared" si="60"/>
        <v>0</v>
      </c>
      <c r="AB463" s="55">
        <f t="shared" si="61"/>
        <v>0</v>
      </c>
      <c r="AC463" s="55">
        <f t="shared" si="55"/>
        <v>0</v>
      </c>
    </row>
    <row r="464" spans="1:29">
      <c r="A464" s="1" t="s">
        <v>479</v>
      </c>
      <c r="B464" s="16" t="str">
        <f>INDEX(emprunts!C:C,MATCH($A464,emprunts!A:A,0))</f>
        <v>Caisse d'Épargne</v>
      </c>
      <c r="C464" s="18">
        <f>INDEX(emprunts!M:M,MATCH($A464,emprunts!$A:$A,0))</f>
        <v>39050</v>
      </c>
      <c r="D464" s="18">
        <f>IF(INDEX(emprunts!O:O,MATCH($A464,emprunts!$A:$A,0))="",INDEX(emprunts!N:N,MATCH($A464,emprunts!$A:$A,0)),MIN(INDEX(emprunts!N:N,MATCH($A464,emprunts!$A:$A,0)),INDEX(emprunts!O:O,MATCH($A464,emprunts!$A:$A,0))))</f>
        <v>40142</v>
      </c>
      <c r="E464" s="52">
        <f>INDEX(emprunts!I:I,MATCH($A464,emprunts!$A:$A,0))</f>
        <v>20</v>
      </c>
      <c r="F464" s="18" t="str">
        <f>INDEX(emprunts!P:P,MATCH($A464,emprunts!$A:$A,0))</f>
        <v>Pente</v>
      </c>
      <c r="G464" s="126" t="str">
        <f>IF(LEFT(A464,3)="vx_","vx",INDEX(Categorie,MATCH($A464,emprunts!$A$2:$A$149,0)))</f>
        <v>Struct</v>
      </c>
      <c r="H464">
        <v>2008</v>
      </c>
      <c r="I464">
        <f t="shared" si="56"/>
        <v>1</v>
      </c>
      <c r="N464" s="14">
        <v>5000000</v>
      </c>
      <c r="O464" s="14">
        <v>4638022</v>
      </c>
      <c r="Q464" s="14">
        <v>164192.82</v>
      </c>
      <c r="R464" s="14">
        <v>182907.6</v>
      </c>
      <c r="S464" s="14"/>
      <c r="T464" s="14">
        <v>15537.37</v>
      </c>
      <c r="U464" s="14">
        <f>SUM(Q464:S464)</f>
        <v>347100.42000000004</v>
      </c>
      <c r="V464" s="14">
        <f t="shared" si="59"/>
        <v>0</v>
      </c>
      <c r="X464" s="85">
        <f t="shared" si="57"/>
        <v>0</v>
      </c>
      <c r="Y464" s="21">
        <f t="shared" si="54"/>
        <v>3.458735955473121E-2</v>
      </c>
      <c r="AA464" s="55">
        <f t="shared" si="60"/>
        <v>163580.08000000002</v>
      </c>
      <c r="AB464" s="55">
        <f t="shared" si="61"/>
        <v>0.59999999962747097</v>
      </c>
      <c r="AC464" s="55">
        <f t="shared" si="55"/>
        <v>4729475.8</v>
      </c>
    </row>
    <row r="465" spans="1:29">
      <c r="A465" t="s">
        <v>276</v>
      </c>
      <c r="B465" s="16" t="str">
        <f>INDEX(emprunts!C:C,MATCH($A465,emprunts!A:A,0))</f>
        <v>Arkea</v>
      </c>
      <c r="C465" s="18">
        <f>INDEX(emprunts!M:M,MATCH($A465,emprunts!$A:$A,0))</f>
        <v>40168</v>
      </c>
      <c r="D465" s="18">
        <f>IF(INDEX(emprunts!O:O,MATCH($A465,emprunts!$A:$A,0))="",INDEX(emprunts!N:N,MATCH($A465,emprunts!$A:$A,0)),MIN(INDEX(emprunts!N:N,MATCH($A465,emprunts!$A:$A,0)),INDEX(emprunts!O:O,MATCH($A465,emprunts!$A:$A,0))))</f>
        <v>47786</v>
      </c>
      <c r="E465" s="52">
        <f>INDEX(emprunts!I:I,MATCH($A465,emprunts!$A:$A,0))</f>
        <v>20</v>
      </c>
      <c r="F465" s="18" t="str">
        <f>INDEX(emprunts!P:P,MATCH($A465,emprunts!$A:$A,0))</f>
        <v>Variable</v>
      </c>
      <c r="G465" s="126" t="str">
        <f>IF(LEFT(A465,3)="vx_","vx",INDEX(Categorie,MATCH($A465,emprunts!$A$2:$A$149,0)))</f>
        <v>Non_st</v>
      </c>
      <c r="H465">
        <v>2008</v>
      </c>
      <c r="I465">
        <f t="shared" si="56"/>
        <v>0</v>
      </c>
      <c r="N465"/>
      <c r="O465" s="14"/>
      <c r="Q465" s="14"/>
      <c r="R465" s="14"/>
      <c r="S465" s="14"/>
      <c r="T465" s="14"/>
      <c r="U465" s="14"/>
      <c r="V465" s="14" t="str">
        <f t="shared" si="59"/>
        <v/>
      </c>
      <c r="X465" s="85">
        <f t="shared" si="57"/>
        <v>0</v>
      </c>
      <c r="Y465" s="21" t="str">
        <f t="shared" si="54"/>
        <v/>
      </c>
      <c r="AA465" s="55">
        <f t="shared" si="60"/>
        <v>0</v>
      </c>
      <c r="AB465" s="55">
        <f t="shared" si="61"/>
        <v>0</v>
      </c>
      <c r="AC465" s="55">
        <f t="shared" si="55"/>
        <v>0</v>
      </c>
    </row>
    <row r="466" spans="1:29">
      <c r="A466" s="1" t="s">
        <v>540</v>
      </c>
      <c r="B466" s="16" t="str">
        <f>INDEX(emprunts!C:C,MATCH($A466,emprunts!A:A,0))</f>
        <v>Crédit Mutuel</v>
      </c>
      <c r="C466" s="18">
        <f>INDEX(emprunts!M:M,MATCH($A466,emprunts!$A:$A,0))</f>
        <v>36495</v>
      </c>
      <c r="D466" s="18">
        <f>IF(INDEX(emprunts!O:O,MATCH($A466,emprunts!$A:$A,0))="",INDEX(emprunts!N:N,MATCH($A466,emprunts!$A:$A,0)),MIN(INDEX(emprunts!N:N,MATCH($A466,emprunts!$A:$A,0)),INDEX(emprunts!O:O,MATCH($A466,emprunts!$A:$A,0))))</f>
        <v>41973</v>
      </c>
      <c r="E466" s="52">
        <f>INDEX(emprunts!I:I,MATCH($A466,emprunts!$A:$A,0))</f>
        <v>15</v>
      </c>
      <c r="F466" s="18" t="str">
        <f>INDEX(emprunts!P:P,MATCH($A466,emprunts!$A:$A,0))</f>
        <v>Fixe à phase</v>
      </c>
      <c r="G466" s="126" t="str">
        <f>IF(LEFT(A466,3)="vx_","vx",INDEX(Categorie,MATCH($A466,emprunts!$A$2:$A$149,0)))</f>
        <v>Non_st</v>
      </c>
      <c r="H466" s="6">
        <v>2009</v>
      </c>
      <c r="I466">
        <f t="shared" si="56"/>
        <v>1</v>
      </c>
      <c r="J466" s="4"/>
      <c r="K466" t="s">
        <v>155</v>
      </c>
      <c r="L466" s="5">
        <v>36860</v>
      </c>
      <c r="M466" s="5">
        <v>36860</v>
      </c>
      <c r="N466" s="14">
        <v>1524490.17</v>
      </c>
      <c r="O466" s="14">
        <v>703753</v>
      </c>
      <c r="P466" s="4">
        <v>3.5249999999999997E-2</v>
      </c>
      <c r="Q466" s="14">
        <v>29273.63</v>
      </c>
      <c r="R466" s="14">
        <v>126704.84</v>
      </c>
      <c r="S466" s="14"/>
      <c r="T466" s="14">
        <v>2106.92</v>
      </c>
      <c r="U466" s="14">
        <f>SUM(Q466:S466)</f>
        <v>155978.47</v>
      </c>
      <c r="V466" s="14">
        <f t="shared" si="59"/>
        <v>0</v>
      </c>
      <c r="W466" s="85"/>
      <c r="X466" s="85">
        <f t="shared" si="57"/>
        <v>0</v>
      </c>
      <c r="Y466" s="21">
        <f t="shared" si="54"/>
        <v>3.7770141090979314E-2</v>
      </c>
      <c r="AA466" s="55">
        <f t="shared" si="60"/>
        <v>28894.300000000003</v>
      </c>
      <c r="AB466" s="55">
        <f t="shared" si="61"/>
        <v>0.83999999996740371</v>
      </c>
      <c r="AC466" s="55">
        <f t="shared" si="55"/>
        <v>765003.76131506858</v>
      </c>
    </row>
    <row r="467" spans="1:29">
      <c r="A467" t="s">
        <v>10</v>
      </c>
      <c r="B467" s="16" t="str">
        <f>INDEX(emprunts!C:C,MATCH($A467,emprunts!A:A,0))</f>
        <v>Crédit Mutuel</v>
      </c>
      <c r="C467" s="18">
        <f>INDEX(emprunts!M:M,MATCH($A467,emprunts!$A:$A,0))</f>
        <v>36950</v>
      </c>
      <c r="D467" s="18">
        <f>IF(INDEX(emprunts!O:O,MATCH($A467,emprunts!$A:$A,0))="",INDEX(emprunts!N:N,MATCH($A467,emprunts!$A:$A,0)),MIN(INDEX(emprunts!N:N,MATCH($A467,emprunts!$A:$A,0)),INDEX(emprunts!O:O,MATCH($A467,emprunts!$A:$A,0))))</f>
        <v>42429</v>
      </c>
      <c r="E467" s="52">
        <f>INDEX(emprunts!I:I,MATCH($A467,emprunts!$A:$A,0))</f>
        <v>15</v>
      </c>
      <c r="F467" s="18" t="str">
        <f>INDEX(emprunts!P:P,MATCH($A467,emprunts!$A:$A,0))</f>
        <v>Fixe</v>
      </c>
      <c r="G467" s="126" t="str">
        <f>IF(LEFT(A467,3)="vx_","vx",INDEX(Categorie,MATCH($A467,emprunts!$A$2:$A$149,0)))</f>
        <v>Non_st</v>
      </c>
      <c r="H467">
        <v>2009</v>
      </c>
      <c r="I467">
        <f t="shared" si="56"/>
        <v>1</v>
      </c>
      <c r="L467" s="5">
        <v>37315</v>
      </c>
      <c r="M467" s="5">
        <v>38045</v>
      </c>
      <c r="O467" s="14">
        <v>328352</v>
      </c>
      <c r="P467" s="4">
        <v>4.99E-2</v>
      </c>
      <c r="Q467" s="14">
        <v>13257.9</v>
      </c>
      <c r="R467" s="14">
        <v>46907.39</v>
      </c>
      <c r="S467" s="14">
        <f>65691.34-SUM(Q467:R467)</f>
        <v>5526.0499999999956</v>
      </c>
      <c r="T467" s="14">
        <v>13736.26</v>
      </c>
      <c r="U467" s="14">
        <f>SUM(Q467:S467)</f>
        <v>65691.34</v>
      </c>
      <c r="V467" s="14">
        <f t="shared" si="59"/>
        <v>0</v>
      </c>
      <c r="X467" s="85">
        <f t="shared" si="57"/>
        <v>0</v>
      </c>
      <c r="Y467" s="21">
        <f t="shared" si="54"/>
        <v>4.7779677074300891E-2</v>
      </c>
      <c r="AA467" s="55">
        <f t="shared" si="60"/>
        <v>16763.109999999993</v>
      </c>
      <c r="AB467" s="55">
        <f t="shared" si="61"/>
        <v>0.39000000001396984</v>
      </c>
      <c r="AC467" s="55">
        <f t="shared" si="55"/>
        <v>350841.84378082195</v>
      </c>
    </row>
    <row r="468" spans="1:29">
      <c r="A468" t="s">
        <v>14</v>
      </c>
      <c r="B468" s="16" t="str">
        <f>INDEX(emprunts!C:C,MATCH($A468,emprunts!A:A,0))</f>
        <v>CDC</v>
      </c>
      <c r="C468" s="18">
        <f>INDEX(emprunts!M:M,MATCH($A468,emprunts!$A:$A,0))</f>
        <v>37006</v>
      </c>
      <c r="D468" s="18">
        <f>IF(INDEX(emprunts!O:O,MATCH($A468,emprunts!$A:$A,0))="",INDEX(emprunts!N:N,MATCH($A468,emprunts!$A:$A,0)),MIN(INDEX(emprunts!N:N,MATCH($A468,emprunts!$A:$A,0)),INDEX(emprunts!O:O,MATCH($A468,emprunts!$A:$A,0))))</f>
        <v>38102</v>
      </c>
      <c r="E468" s="52">
        <f>INDEX(emprunts!I:I,MATCH($A468,emprunts!$A:$A,0))</f>
        <v>3</v>
      </c>
      <c r="F468" s="18" t="str">
        <f>INDEX(emprunts!P:P,MATCH($A468,emprunts!$A:$A,0))</f>
        <v>Fixe</v>
      </c>
      <c r="G468" s="126" t="str">
        <f>IF(LEFT(A468,3)="vx_","vx",INDEX(Categorie,MATCH($A468,emprunts!$A$2:$A$149,0)))</f>
        <v>Non_st</v>
      </c>
      <c r="H468">
        <v>2009</v>
      </c>
      <c r="I468">
        <f t="shared" si="56"/>
        <v>1</v>
      </c>
      <c r="N468"/>
      <c r="O468" s="14"/>
      <c r="Q468" s="14"/>
      <c r="R468" s="14"/>
      <c r="S468" s="14"/>
      <c r="T468" s="14"/>
      <c r="U468" s="14"/>
      <c r="V468" s="14" t="str">
        <f t="shared" si="59"/>
        <v/>
      </c>
      <c r="X468" s="85">
        <f t="shared" si="57"/>
        <v>0</v>
      </c>
      <c r="Y468" s="21" t="str">
        <f t="shared" si="54"/>
        <v/>
      </c>
      <c r="AA468" s="55">
        <f t="shared" si="60"/>
        <v>0</v>
      </c>
      <c r="AB468" s="55">
        <f t="shared" si="61"/>
        <v>0</v>
      </c>
      <c r="AC468" s="55">
        <f t="shared" si="55"/>
        <v>0</v>
      </c>
    </row>
    <row r="469" spans="1:29">
      <c r="A469" t="s">
        <v>26</v>
      </c>
      <c r="B469" s="16" t="str">
        <f>INDEX(emprunts!C:C,MATCH($A469,emprunts!A:A,0))</f>
        <v>CDC</v>
      </c>
      <c r="C469" s="18">
        <f>INDEX(emprunts!M:M,MATCH($A469,emprunts!$A:$A,0))</f>
        <v>37281</v>
      </c>
      <c r="D469" s="18">
        <f>IF(INDEX(emprunts!O:O,MATCH($A469,emprunts!$A:$A,0))="",INDEX(emprunts!N:N,MATCH($A469,emprunts!$A:$A,0)),MIN(INDEX(emprunts!N:N,MATCH($A469,emprunts!$A:$A,0)),INDEX(emprunts!O:O,MATCH($A469,emprunts!$A:$A,0))))</f>
        <v>39838</v>
      </c>
      <c r="E469" s="52">
        <f>INDEX(emprunts!I:I,MATCH($A469,emprunts!$A:$A,0))</f>
        <v>7</v>
      </c>
      <c r="F469" s="18" t="str">
        <f>INDEX(emprunts!P:P,MATCH($A469,emprunts!$A:$A,0))</f>
        <v>Fixe</v>
      </c>
      <c r="G469" s="126" t="str">
        <f>IF(LEFT(A469,3)="vx_","vx",INDEX(Categorie,MATCH($A469,emprunts!$A$2:$A$149,0)))</f>
        <v>Non_st</v>
      </c>
      <c r="H469">
        <v>2009</v>
      </c>
      <c r="I469">
        <f t="shared" si="56"/>
        <v>1</v>
      </c>
      <c r="N469"/>
      <c r="O469" s="14"/>
      <c r="Q469" s="14"/>
      <c r="R469" s="14"/>
      <c r="S469" s="14"/>
      <c r="T469" s="14"/>
      <c r="U469" s="14"/>
      <c r="V469" s="14" t="str">
        <f t="shared" si="59"/>
        <v/>
      </c>
      <c r="X469" s="85">
        <f t="shared" si="57"/>
        <v>0</v>
      </c>
      <c r="Y469" s="21" t="str">
        <f t="shared" si="54"/>
        <v/>
      </c>
      <c r="AA469" s="55">
        <f t="shared" si="60"/>
        <v>0</v>
      </c>
      <c r="AB469" s="55">
        <f t="shared" si="61"/>
        <v>0</v>
      </c>
      <c r="AC469" s="55">
        <f t="shared" si="55"/>
        <v>0</v>
      </c>
    </row>
    <row r="470" spans="1:29">
      <c r="A470" t="s">
        <v>28</v>
      </c>
      <c r="B470" s="16" t="str">
        <f>INDEX(emprunts!C:C,MATCH($A470,emprunts!A:A,0))</f>
        <v>CDC</v>
      </c>
      <c r="C470" s="18">
        <f>INDEX(emprunts!M:M,MATCH($A470,emprunts!$A:$A,0))</f>
        <v>37288</v>
      </c>
      <c r="D470" s="18">
        <f>IF(INDEX(emprunts!O:O,MATCH($A470,emprunts!$A:$A,0))="",INDEX(emprunts!N:N,MATCH($A470,emprunts!$A:$A,0)),MIN(INDEX(emprunts!N:N,MATCH($A470,emprunts!$A:$A,0)),INDEX(emprunts!O:O,MATCH($A470,emprunts!$A:$A,0))))</f>
        <v>44593</v>
      </c>
      <c r="E470" s="52">
        <f>INDEX(emprunts!I:I,MATCH($A470,emprunts!$A:$A,0))</f>
        <v>20</v>
      </c>
      <c r="F470" s="18" t="str">
        <f>INDEX(emprunts!P:P,MATCH($A470,emprunts!$A:$A,0))</f>
        <v>Livret A</v>
      </c>
      <c r="G470" s="126" t="str">
        <f>IF(LEFT(A470,3)="vx_","vx",INDEX(Categorie,MATCH($A470,emprunts!$A$2:$A$149,0)))</f>
        <v>Livr_A</v>
      </c>
      <c r="H470">
        <v>2009</v>
      </c>
      <c r="I470">
        <f t="shared" si="56"/>
        <v>1</v>
      </c>
      <c r="L470" s="5">
        <v>37653</v>
      </c>
      <c r="M470" s="5">
        <v>37653</v>
      </c>
      <c r="N470" s="14">
        <v>2137796</v>
      </c>
      <c r="O470" s="14">
        <v>1519614</v>
      </c>
      <c r="P470" s="4">
        <v>2.5000000000000001E-2</v>
      </c>
      <c r="Q470" s="14">
        <v>56219.89</v>
      </c>
      <c r="R470" s="14">
        <v>86668.71</v>
      </c>
      <c r="S470" s="14"/>
      <c r="T470" s="14">
        <v>34307.21</v>
      </c>
      <c r="U470" s="14">
        <f>SUM(Q470:S470)</f>
        <v>142888.6</v>
      </c>
      <c r="V470" s="14">
        <f t="shared" si="59"/>
        <v>0</v>
      </c>
      <c r="X470" s="85">
        <f t="shared" si="57"/>
        <v>0</v>
      </c>
      <c r="Y470" s="21">
        <f t="shared" si="54"/>
        <v>2.5234881822417631E-2</v>
      </c>
      <c r="Z470" t="s">
        <v>621</v>
      </c>
      <c r="AA470" s="55">
        <f t="shared" si="60"/>
        <v>39332.760000000009</v>
      </c>
      <c r="AB470" s="55">
        <f t="shared" si="61"/>
        <v>-0.2900000000372529</v>
      </c>
      <c r="AC470" s="55">
        <f t="shared" si="55"/>
        <v>1558666.3047123288</v>
      </c>
    </row>
    <row r="471" spans="1:29">
      <c r="A471" t="s">
        <v>31</v>
      </c>
      <c r="B471" s="16" t="str">
        <f>INDEX(emprunts!C:C,MATCH($A471,emprunts!A:A,0))</f>
        <v>CDC</v>
      </c>
      <c r="C471" s="18">
        <f>INDEX(emprunts!M:M,MATCH($A471,emprunts!$A:$A,0))</f>
        <v>37347</v>
      </c>
      <c r="D471" s="18">
        <f>IF(INDEX(emprunts!O:O,MATCH($A471,emprunts!$A:$A,0))="",INDEX(emprunts!N:N,MATCH($A471,emprunts!$A:$A,0)),MIN(INDEX(emprunts!N:N,MATCH($A471,emprunts!$A:$A,0)),INDEX(emprunts!O:O,MATCH($A471,emprunts!$A:$A,0))))</f>
        <v>44652</v>
      </c>
      <c r="E471" s="52">
        <f>INDEX(emprunts!I:I,MATCH($A471,emprunts!$A:$A,0))</f>
        <v>20</v>
      </c>
      <c r="F471" s="18" t="str">
        <f>INDEX(emprunts!P:P,MATCH($A471,emprunts!$A:$A,0))</f>
        <v>Livret A</v>
      </c>
      <c r="G471" s="126" t="str">
        <f>IF(LEFT(A471,3)="vx_","vx",INDEX(Categorie,MATCH($A471,emprunts!$A$2:$A$149,0)))</f>
        <v>Livr_A</v>
      </c>
      <c r="H471">
        <v>2009</v>
      </c>
      <c r="I471">
        <f t="shared" si="56"/>
        <v>1</v>
      </c>
      <c r="N471"/>
      <c r="O471" s="14"/>
      <c r="Q471" s="14"/>
      <c r="R471" s="14"/>
      <c r="S471" s="14"/>
      <c r="T471" s="14"/>
      <c r="U471" s="14"/>
      <c r="V471" s="14" t="str">
        <f t="shared" si="59"/>
        <v/>
      </c>
      <c r="X471" s="85">
        <f t="shared" si="57"/>
        <v>0</v>
      </c>
      <c r="Y471" s="21" t="str">
        <f t="shared" si="54"/>
        <v/>
      </c>
      <c r="AA471" s="55">
        <f t="shared" si="60"/>
        <v>0</v>
      </c>
      <c r="AB471" s="55">
        <f t="shared" si="61"/>
        <v>0</v>
      </c>
      <c r="AC471" s="55">
        <f t="shared" si="55"/>
        <v>0</v>
      </c>
    </row>
    <row r="472" spans="1:29">
      <c r="A472" t="s">
        <v>33</v>
      </c>
      <c r="B472" s="16" t="str">
        <f>INDEX(emprunts!C:C,MATCH($A472,emprunts!A:A,0))</f>
        <v>Crédit Agricole</v>
      </c>
      <c r="C472" s="18">
        <f>INDEX(emprunts!M:M,MATCH($A472,emprunts!$A:$A,0))</f>
        <v>37361</v>
      </c>
      <c r="D472" s="18">
        <f>IF(INDEX(emprunts!O:O,MATCH($A472,emprunts!$A:$A,0))="",INDEX(emprunts!N:N,MATCH($A472,emprunts!$A:$A,0)),MIN(INDEX(emprunts!N:N,MATCH($A472,emprunts!$A:$A,0)),INDEX(emprunts!O:O,MATCH($A472,emprunts!$A:$A,0))))</f>
        <v>42843</v>
      </c>
      <c r="E472" s="52">
        <f>INDEX(emprunts!I:I,MATCH($A472,emprunts!$A:$A,0))</f>
        <v>15</v>
      </c>
      <c r="F472" s="18" t="str">
        <f>INDEX(emprunts!P:P,MATCH($A472,emprunts!$A:$A,0))</f>
        <v>Barrière hors zone EUR</v>
      </c>
      <c r="G472" s="126" t="str">
        <f>IF(LEFT(A472,3)="vx_","vx",INDEX(Categorie,MATCH($A472,emprunts!$A$2:$A$149,0)))</f>
        <v>Struct</v>
      </c>
      <c r="H472">
        <v>2009</v>
      </c>
      <c r="I472">
        <f t="shared" si="56"/>
        <v>1</v>
      </c>
      <c r="L472" s="5">
        <v>37726</v>
      </c>
      <c r="M472" s="5">
        <v>37726</v>
      </c>
      <c r="N472" s="14">
        <v>13097112.84</v>
      </c>
      <c r="O472" s="14">
        <v>7816772</v>
      </c>
      <c r="P472" s="4">
        <v>1.9276999999999999E-2</v>
      </c>
      <c r="Q472" s="14">
        <v>166654.59</v>
      </c>
      <c r="R472" s="14">
        <v>834367.85</v>
      </c>
      <c r="S472" s="14"/>
      <c r="T472" s="14">
        <v>107263.48</v>
      </c>
      <c r="U472" s="14">
        <f>SUM(Q472:S472)</f>
        <v>1001022.44</v>
      </c>
      <c r="V472" s="14">
        <f t="shared" si="59"/>
        <v>0</v>
      </c>
      <c r="X472" s="85">
        <f t="shared" si="57"/>
        <v>0</v>
      </c>
      <c r="Y472" s="21">
        <f t="shared" si="54"/>
        <v>1.8901193953082821E-2</v>
      </c>
      <c r="AA472" s="55">
        <f t="shared" si="60"/>
        <v>155205.21000000002</v>
      </c>
      <c r="AB472" s="55">
        <f t="shared" si="61"/>
        <v>-0.15000000037252903</v>
      </c>
      <c r="AC472" s="55">
        <f t="shared" si="55"/>
        <v>8211397.1416438352</v>
      </c>
    </row>
    <row r="473" spans="1:29">
      <c r="A473" t="s">
        <v>55</v>
      </c>
      <c r="B473" s="16" t="str">
        <f>INDEX(emprunts!C:C,MATCH($A473,emprunts!A:A,0))</f>
        <v>CDC</v>
      </c>
      <c r="C473" s="18">
        <f>INDEX(emprunts!M:M,MATCH($A473,emprunts!$A:$A,0))</f>
        <v>37530</v>
      </c>
      <c r="D473" s="18">
        <f>IF(INDEX(emprunts!O:O,MATCH($A473,emprunts!$A:$A,0))="",INDEX(emprunts!N:N,MATCH($A473,emprunts!$A:$A,0)),MIN(INDEX(emprunts!N:N,MATCH($A473,emprunts!$A:$A,0)),INDEX(emprunts!O:O,MATCH($A473,emprunts!$A:$A,0))))</f>
        <v>37530</v>
      </c>
      <c r="E473" s="52">
        <f>INDEX(emprunts!I:I,MATCH($A473,emprunts!$A:$A,0))</f>
        <v>20</v>
      </c>
      <c r="F473" s="18" t="str">
        <f>INDEX(emprunts!P:P,MATCH($A473,emprunts!$A:$A,0))</f>
        <v>Livret A</v>
      </c>
      <c r="G473" s="126" t="str">
        <f>IF(LEFT(A473,3)="vx_","vx",INDEX(Categorie,MATCH($A473,emprunts!$A$2:$A$149,0)))</f>
        <v>Livr_A</v>
      </c>
      <c r="H473">
        <v>2009</v>
      </c>
      <c r="I473">
        <f t="shared" ref="I473:I512" si="62">1*(C473&lt;DATE(H473,12,31))</f>
        <v>1</v>
      </c>
      <c r="N473"/>
      <c r="O473" s="14"/>
      <c r="Q473" s="14"/>
      <c r="R473" s="14"/>
      <c r="S473" s="14"/>
      <c r="T473" s="14"/>
      <c r="U473" s="14"/>
      <c r="V473" s="14" t="str">
        <f t="shared" si="59"/>
        <v/>
      </c>
      <c r="X473" s="85">
        <f t="shared" ref="X473:X512" si="63">SUMPRODUCT((De=$A473)*(année_refi=$H473),Montant_transfere)</f>
        <v>0</v>
      </c>
      <c r="Y473" s="21" t="str">
        <f t="shared" ref="Y473:Y512" si="64">IF(AND(AA473&gt;0,YEAR(C473)&lt;=H473),AA473/AC473,"")</f>
        <v/>
      </c>
      <c r="AA473" s="55">
        <f t="shared" si="60"/>
        <v>0</v>
      </c>
      <c r="AB473" s="55">
        <f t="shared" si="61"/>
        <v>0</v>
      </c>
      <c r="AC473" s="55">
        <f t="shared" ref="AC473:AC513" si="65">MAX(0,(C473-DATE(H473,1,1))/365)*0+MAX(0,MIN(1,(MIN(DATE(H473,12,31),D473)-MAX(DATE(H473,1,1),C473))/365))*(O473+X473+R473/2)</f>
        <v>0</v>
      </c>
    </row>
    <row r="474" spans="1:29">
      <c r="A474" t="s">
        <v>59</v>
      </c>
      <c r="B474" s="16" t="str">
        <f>INDEX(emprunts!C:C,MATCH($A474,emprunts!A:A,0))</f>
        <v>CDC</v>
      </c>
      <c r="C474" s="18">
        <f>INDEX(emprunts!M:M,MATCH($A474,emprunts!$A:$A,0))</f>
        <v>37621</v>
      </c>
      <c r="D474" s="18">
        <f>IF(INDEX(emprunts!O:O,MATCH($A474,emprunts!$A:$A,0))="",INDEX(emprunts!N:N,MATCH($A474,emprunts!$A:$A,0)),MIN(INDEX(emprunts!N:N,MATCH($A474,emprunts!$A:$A,0)),INDEX(emprunts!O:O,MATCH($A474,emprunts!$A:$A,0))))</f>
        <v>44927</v>
      </c>
      <c r="E474" s="52">
        <f>INDEX(emprunts!I:I,MATCH($A474,emprunts!$A:$A,0))</f>
        <v>20</v>
      </c>
      <c r="F474" s="18" t="str">
        <f>INDEX(emprunts!P:P,MATCH($A474,emprunts!$A:$A,0))</f>
        <v>Livret A</v>
      </c>
      <c r="G474" s="126" t="str">
        <f>IF(LEFT(A474,3)="vx_","vx",INDEX(Categorie,MATCH($A474,emprunts!$A$2:$A$149,0)))</f>
        <v>Livr_A</v>
      </c>
      <c r="H474">
        <v>2009</v>
      </c>
      <c r="I474">
        <f t="shared" si="62"/>
        <v>1</v>
      </c>
      <c r="N474"/>
      <c r="O474" s="14"/>
      <c r="Q474" s="14"/>
      <c r="R474" s="14"/>
      <c r="S474" s="14"/>
      <c r="T474" s="14"/>
      <c r="U474" s="14"/>
      <c r="V474" s="14" t="str">
        <f t="shared" si="59"/>
        <v/>
      </c>
      <c r="X474" s="85">
        <f t="shared" si="63"/>
        <v>0</v>
      </c>
      <c r="Y474" s="21" t="str">
        <f t="shared" si="64"/>
        <v/>
      </c>
      <c r="AA474" s="55">
        <f t="shared" si="60"/>
        <v>0</v>
      </c>
      <c r="AB474" s="55">
        <f t="shared" si="61"/>
        <v>0</v>
      </c>
      <c r="AC474" s="55">
        <f t="shared" si="65"/>
        <v>0</v>
      </c>
    </row>
    <row r="475" spans="1:29">
      <c r="A475" t="s">
        <v>72</v>
      </c>
      <c r="B475" s="16" t="str">
        <f>INDEX(emprunts!C:C,MATCH($A475,emprunts!A:A,0))</f>
        <v>Dexia CL</v>
      </c>
      <c r="C475" s="18">
        <f>INDEX(emprunts!M:M,MATCH($A475,emprunts!$A:$A,0))</f>
        <v>37756</v>
      </c>
      <c r="D475" s="18">
        <f>IF(INDEX(emprunts!O:O,MATCH($A475,emprunts!$A:$A,0))="",INDEX(emprunts!N:N,MATCH($A475,emprunts!$A:$A,0)),MIN(INDEX(emprunts!N:N,MATCH($A475,emprunts!$A:$A,0)),INDEX(emprunts!O:O,MATCH($A475,emprunts!$A:$A,0))))</f>
        <v>39539</v>
      </c>
      <c r="E475" s="52">
        <f>INDEX(emprunts!I:I,MATCH($A475,emprunts!$A:$A,0))</f>
        <v>20</v>
      </c>
      <c r="F475" s="18" t="str">
        <f>INDEX(emprunts!P:P,MATCH($A475,emprunts!$A:$A,0))</f>
        <v>Barrière hors zone EUR</v>
      </c>
      <c r="G475" s="126" t="str">
        <f>IF(LEFT(A475,3)="vx_","vx",INDEX(Categorie,MATCH($A475,emprunts!$A$2:$A$149,0)))</f>
        <v>Struct</v>
      </c>
      <c r="H475">
        <v>2009</v>
      </c>
      <c r="I475">
        <f t="shared" si="62"/>
        <v>1</v>
      </c>
      <c r="N475"/>
      <c r="O475" s="14"/>
      <c r="Q475" s="14"/>
      <c r="R475" s="14"/>
      <c r="S475" s="14"/>
      <c r="T475" s="14"/>
      <c r="U475" s="14"/>
      <c r="V475" s="14" t="str">
        <f t="shared" si="59"/>
        <v/>
      </c>
      <c r="X475" s="85">
        <f t="shared" si="63"/>
        <v>0</v>
      </c>
      <c r="Y475" s="21" t="str">
        <f t="shared" si="64"/>
        <v/>
      </c>
      <c r="AA475" s="55">
        <f t="shared" si="60"/>
        <v>0</v>
      </c>
      <c r="AB475" s="55">
        <f t="shared" si="61"/>
        <v>0</v>
      </c>
      <c r="AC475" s="55">
        <f t="shared" si="65"/>
        <v>0</v>
      </c>
    </row>
    <row r="476" spans="1:29">
      <c r="A476" t="s">
        <v>79</v>
      </c>
      <c r="B476" s="16" t="str">
        <f>INDEX(emprunts!C:C,MATCH($A476,emprunts!A:A,0))</f>
        <v>Caisse d'Épargne</v>
      </c>
      <c r="C476" s="18">
        <f>INDEX(emprunts!M:M,MATCH($A476,emprunts!$A:$A,0))</f>
        <v>37803</v>
      </c>
      <c r="D476" s="18">
        <f>IF(INDEX(emprunts!O:O,MATCH($A476,emprunts!$A:$A,0))="",INDEX(emprunts!N:N,MATCH($A476,emprunts!$A:$A,0)),MIN(INDEX(emprunts!N:N,MATCH($A476,emprunts!$A:$A,0)),INDEX(emprunts!O:O,MATCH($A476,emprunts!$A:$A,0))))</f>
        <v>38773</v>
      </c>
      <c r="E476" s="52">
        <f>INDEX(emprunts!I:I,MATCH($A476,emprunts!$A:$A,0))</f>
        <v>20</v>
      </c>
      <c r="F476" s="18" t="str">
        <f>INDEX(emprunts!P:P,MATCH($A476,emprunts!$A:$A,0))</f>
        <v>Barrière hors zone EUR</v>
      </c>
      <c r="G476" s="126" t="str">
        <f>IF(LEFT(A476,3)="vx_","vx",INDEX(Categorie,MATCH($A476,emprunts!$A$2:$A$149,0)))</f>
        <v>Struct</v>
      </c>
      <c r="H476">
        <v>2009</v>
      </c>
      <c r="I476">
        <f t="shared" si="62"/>
        <v>1</v>
      </c>
      <c r="N476"/>
      <c r="O476" s="14"/>
      <c r="Q476" s="14"/>
      <c r="R476" s="14"/>
      <c r="S476" s="14"/>
      <c r="T476" s="14"/>
      <c r="U476" s="14"/>
      <c r="V476" s="14" t="str">
        <f t="shared" si="59"/>
        <v/>
      </c>
      <c r="X476" s="85">
        <f t="shared" si="63"/>
        <v>0</v>
      </c>
      <c r="Y476" s="21" t="str">
        <f t="shared" si="64"/>
        <v/>
      </c>
      <c r="AA476" s="55">
        <f t="shared" si="60"/>
        <v>0</v>
      </c>
      <c r="AB476" s="55">
        <f t="shared" si="61"/>
        <v>0</v>
      </c>
      <c r="AC476" s="55">
        <f t="shared" si="65"/>
        <v>0</v>
      </c>
    </row>
    <row r="477" spans="1:29">
      <c r="A477" t="s">
        <v>84</v>
      </c>
      <c r="B477" s="16" t="str">
        <f>INDEX(emprunts!C:C,MATCH($A477,emprunts!A:A,0))</f>
        <v>Caisse d'Épargne</v>
      </c>
      <c r="C477" s="18">
        <f>INDEX(emprunts!M:M,MATCH($A477,emprunts!$A:$A,0))</f>
        <v>37865</v>
      </c>
      <c r="D477" s="18">
        <f>IF(INDEX(emprunts!O:O,MATCH($A477,emprunts!$A:$A,0))="",INDEX(emprunts!N:N,MATCH($A477,emprunts!$A:$A,0)),MIN(INDEX(emprunts!N:N,MATCH($A477,emprunts!$A:$A,0)),INDEX(emprunts!O:O,MATCH($A477,emprunts!$A:$A,0))))</f>
        <v>38961</v>
      </c>
      <c r="E477" s="52">
        <f>INDEX(emprunts!I:I,MATCH($A477,emprunts!$A:$A,0))</f>
        <v>3</v>
      </c>
      <c r="F477" s="18" t="str">
        <f>INDEX(emprunts!P:P,MATCH($A477,emprunts!$A:$A,0))</f>
        <v>Fixe</v>
      </c>
      <c r="G477" s="126" t="str">
        <f>IF(LEFT(A477,3)="vx_","vx",INDEX(Categorie,MATCH($A477,emprunts!$A$2:$A$149,0)))</f>
        <v>Non_st</v>
      </c>
      <c r="H477">
        <v>2009</v>
      </c>
      <c r="I477">
        <f t="shared" si="62"/>
        <v>1</v>
      </c>
      <c r="N477"/>
      <c r="O477" s="14"/>
      <c r="Q477" s="14"/>
      <c r="R477" s="14"/>
      <c r="S477" s="14"/>
      <c r="T477" s="14"/>
      <c r="U477" s="14"/>
      <c r="V477" s="14" t="str">
        <f t="shared" si="59"/>
        <v/>
      </c>
      <c r="X477" s="85">
        <f t="shared" si="63"/>
        <v>0</v>
      </c>
      <c r="Y477" s="21" t="str">
        <f t="shared" si="64"/>
        <v/>
      </c>
      <c r="AA477" s="55">
        <f t="shared" si="60"/>
        <v>0</v>
      </c>
      <c r="AB477" s="55">
        <f t="shared" si="61"/>
        <v>0</v>
      </c>
      <c r="AC477" s="55">
        <f t="shared" si="65"/>
        <v>0</v>
      </c>
    </row>
    <row r="478" spans="1:29">
      <c r="A478" t="s">
        <v>86</v>
      </c>
      <c r="B478" s="16" t="str">
        <f>INDEX(emprunts!C:C,MATCH($A478,emprunts!A:A,0))</f>
        <v>Caisse d'Épargne</v>
      </c>
      <c r="C478" s="18">
        <f>INDEX(emprunts!M:M,MATCH($A478,emprunts!$A:$A,0))</f>
        <v>38022</v>
      </c>
      <c r="D478" s="18">
        <f>IF(INDEX(emprunts!O:O,MATCH($A478,emprunts!$A:$A,0))="",INDEX(emprunts!N:N,MATCH($A478,emprunts!$A:$A,0)),MIN(INDEX(emprunts!N:N,MATCH($A478,emprunts!$A:$A,0)),INDEX(emprunts!O:O,MATCH($A478,emprunts!$A:$A,0))))</f>
        <v>40719</v>
      </c>
      <c r="E478" s="52">
        <f>INDEX(emprunts!I:I,MATCH($A478,emprunts!$A:$A,0))</f>
        <v>7</v>
      </c>
      <c r="F478" s="18" t="str">
        <f>INDEX(emprunts!P:P,MATCH($A478,emprunts!$A:$A,0))</f>
        <v>Fixe</v>
      </c>
      <c r="G478" s="126" t="str">
        <f>IF(LEFT(A478,3)="vx_","vx",INDEX(Categorie,MATCH($A478,emprunts!$A$2:$A$149,0)))</f>
        <v>Non_st</v>
      </c>
      <c r="H478">
        <v>2009</v>
      </c>
      <c r="I478">
        <f t="shared" si="62"/>
        <v>1</v>
      </c>
      <c r="L478" s="5">
        <v>38163</v>
      </c>
      <c r="M478" s="5">
        <v>38163</v>
      </c>
      <c r="N478" s="14">
        <v>4324063.92</v>
      </c>
      <c r="O478" s="14">
        <v>1177234</v>
      </c>
      <c r="P478" s="4">
        <v>3.7999999999999999E-2</v>
      </c>
      <c r="Q478" s="14">
        <v>65881.7</v>
      </c>
      <c r="R478" s="14">
        <v>556494.99</v>
      </c>
      <c r="S478" s="14"/>
      <c r="T478" s="14">
        <v>23164.09</v>
      </c>
      <c r="U478" s="14">
        <f>SUM(Q478:S478)</f>
        <v>622376.68999999994</v>
      </c>
      <c r="V478" s="14">
        <f t="shared" si="59"/>
        <v>0</v>
      </c>
      <c r="X478" s="85">
        <f t="shared" si="63"/>
        <v>0</v>
      </c>
      <c r="Y478" s="21">
        <f t="shared" si="64"/>
        <v>3.7841496244837187E-2</v>
      </c>
      <c r="Z478" t="s">
        <v>621</v>
      </c>
      <c r="AA478" s="55">
        <f t="shared" si="60"/>
        <v>54926.7</v>
      </c>
      <c r="AB478" s="55">
        <f t="shared" si="61"/>
        <v>-1.0000000009313226E-2</v>
      </c>
      <c r="AC478" s="55">
        <f t="shared" si="65"/>
        <v>1451493.8744657536</v>
      </c>
    </row>
    <row r="479" spans="1:29">
      <c r="A479" t="s">
        <v>123</v>
      </c>
      <c r="B479" s="16" t="str">
        <f>INDEX(emprunts!C:C,MATCH($A479,emprunts!A:A,0))</f>
        <v>Crédit Mutuel</v>
      </c>
      <c r="C479" s="18">
        <f>INDEX(emprunts!M:M,MATCH($A479,emprunts!$A:$A,0))</f>
        <v>38435</v>
      </c>
      <c r="D479" s="18">
        <f>IF(INDEX(emprunts!O:O,MATCH($A479,emprunts!$A:$A,0))="",INDEX(emprunts!N:N,MATCH($A479,emprunts!$A:$A,0)),MIN(INDEX(emprunts!N:N,MATCH($A479,emprunts!$A:$A,0)),INDEX(emprunts!O:O,MATCH($A479,emprunts!$A:$A,0))))</f>
        <v>40260</v>
      </c>
      <c r="E479" s="52">
        <f>INDEX(emprunts!I:I,MATCH($A479,emprunts!$A:$A,0))</f>
        <v>5</v>
      </c>
      <c r="F479" s="18" t="str">
        <f>INDEX(emprunts!P:P,MATCH($A479,emprunts!$A:$A,0))</f>
        <v>Fixe</v>
      </c>
      <c r="G479" s="126" t="str">
        <f>IF(LEFT(A479,3)="vx_","vx",INDEX(Categorie,MATCH($A479,emprunts!$A$2:$A$149,0)))</f>
        <v>Non_st</v>
      </c>
      <c r="H479">
        <v>2009</v>
      </c>
      <c r="I479">
        <f t="shared" si="62"/>
        <v>1</v>
      </c>
      <c r="L479" s="5">
        <v>38776</v>
      </c>
      <c r="M479" s="5">
        <v>38776</v>
      </c>
      <c r="N479" s="14">
        <v>1808556</v>
      </c>
      <c r="O479" s="14">
        <v>383188</v>
      </c>
      <c r="P479" s="4">
        <v>2.9700000000000001E-2</v>
      </c>
      <c r="Q479" s="14">
        <v>22433.09</v>
      </c>
      <c r="R479" s="14">
        <v>372135.18</v>
      </c>
      <c r="S479" s="14"/>
      <c r="T479" s="14">
        <v>9541.0499999999993</v>
      </c>
      <c r="U479" s="14">
        <f>SUM(Q479:S479)</f>
        <v>394568.27</v>
      </c>
      <c r="V479" s="14">
        <f t="shared" si="59"/>
        <v>0</v>
      </c>
      <c r="X479" s="85">
        <f t="shared" si="63"/>
        <v>0</v>
      </c>
      <c r="Y479" s="21">
        <f t="shared" si="64"/>
        <v>2.3176683176785236E-2</v>
      </c>
      <c r="Z479" t="s">
        <v>621</v>
      </c>
      <c r="AA479" s="55">
        <f t="shared" si="60"/>
        <v>13157.309999999998</v>
      </c>
      <c r="AB479" s="55">
        <f t="shared" si="61"/>
        <v>0.17999999993480742</v>
      </c>
      <c r="AC479" s="55">
        <f t="shared" si="65"/>
        <v>567695.98564383562</v>
      </c>
    </row>
    <row r="480" spans="1:29">
      <c r="A480" t="s">
        <v>183</v>
      </c>
      <c r="B480" s="16" t="str">
        <f>INDEX(emprunts!C:C,MATCH($A480,emprunts!A:A,0))</f>
        <v>CDC</v>
      </c>
      <c r="C480" s="18">
        <f>INDEX(emprunts!M:M,MATCH($A480,emprunts!$A:$A,0))</f>
        <v>38473</v>
      </c>
      <c r="D480" s="18">
        <f>IF(INDEX(emprunts!O:O,MATCH($A480,emprunts!$A:$A,0))="",INDEX(emprunts!N:N,MATCH($A480,emprunts!$A:$A,0)),MIN(INDEX(emprunts!N:N,MATCH($A480,emprunts!$A:$A,0)),INDEX(emprunts!O:O,MATCH($A480,emprunts!$A:$A,0))))</f>
        <v>40663</v>
      </c>
      <c r="E480" s="52">
        <f>INDEX(emprunts!I:I,MATCH($A480,emprunts!$A:$A,0))</f>
        <v>6</v>
      </c>
      <c r="F480" s="18" t="str">
        <f>INDEX(emprunts!P:P,MATCH($A480,emprunts!$A:$A,0))</f>
        <v>Variable</v>
      </c>
      <c r="G480" s="126" t="str">
        <f>IF(LEFT(A480,3)="vx_","vx",INDEX(Categorie,MATCH($A480,emprunts!$A$2:$A$149,0)))</f>
        <v>Non_st</v>
      </c>
      <c r="H480">
        <v>2009</v>
      </c>
      <c r="I480">
        <f t="shared" si="62"/>
        <v>1</v>
      </c>
      <c r="N480"/>
      <c r="O480" s="58"/>
      <c r="Q480" s="14"/>
      <c r="R480" s="14"/>
      <c r="S480" s="14"/>
      <c r="T480" s="14"/>
      <c r="U480" s="14"/>
      <c r="V480" s="14" t="str">
        <f t="shared" si="59"/>
        <v/>
      </c>
      <c r="X480" s="85">
        <f t="shared" si="63"/>
        <v>0</v>
      </c>
      <c r="Y480" s="21" t="str">
        <f t="shared" si="64"/>
        <v/>
      </c>
      <c r="AA480" s="55">
        <f t="shared" si="60"/>
        <v>0</v>
      </c>
      <c r="AB480" s="55">
        <f t="shared" si="61"/>
        <v>0</v>
      </c>
      <c r="AC480" s="55">
        <f t="shared" si="65"/>
        <v>0</v>
      </c>
    </row>
    <row r="481" spans="1:29">
      <c r="A481" t="s">
        <v>185</v>
      </c>
      <c r="B481" s="16" t="str">
        <f>INDEX(emprunts!C:C,MATCH($A481,emprunts!A:A,0))</f>
        <v>CDC</v>
      </c>
      <c r="C481" s="18">
        <f>INDEX(emprunts!M:M,MATCH($A481,emprunts!$A:$A,0))</f>
        <v>38473</v>
      </c>
      <c r="D481" s="18">
        <f>IF(INDEX(emprunts!O:O,MATCH($A481,emprunts!$A:$A,0))="",INDEX(emprunts!N:N,MATCH($A481,emprunts!$A:$A,0)),MIN(INDEX(emprunts!N:N,MATCH($A481,emprunts!$A:$A,0)),INDEX(emprunts!O:O,MATCH($A481,emprunts!$A:$A,0))))</f>
        <v>41393</v>
      </c>
      <c r="E481" s="52">
        <f>INDEX(emprunts!I:I,MATCH($A481,emprunts!$A:$A,0))</f>
        <v>8</v>
      </c>
      <c r="F481" s="18" t="str">
        <f>INDEX(emprunts!P:P,MATCH($A481,emprunts!$A:$A,0))</f>
        <v>Variable</v>
      </c>
      <c r="G481" s="126" t="str">
        <f>IF(LEFT(A481,3)="vx_","vx",INDEX(Categorie,MATCH($A481,emprunts!$A$2:$A$149,0)))</f>
        <v>Non_st</v>
      </c>
      <c r="H481">
        <v>2009</v>
      </c>
      <c r="I481">
        <f t="shared" si="62"/>
        <v>1</v>
      </c>
      <c r="L481" s="5">
        <v>38553</v>
      </c>
      <c r="M481" s="5">
        <v>38838</v>
      </c>
      <c r="N481" s="14">
        <v>3425073.34</v>
      </c>
      <c r="O481" s="14">
        <v>1793296</v>
      </c>
      <c r="P481" s="4">
        <v>1.9054000000000001E-2</v>
      </c>
      <c r="Q481" s="14">
        <v>114687.2</v>
      </c>
      <c r="R481" s="14">
        <v>422494.84</v>
      </c>
      <c r="S481" s="14"/>
      <c r="T481" s="14">
        <v>22826.27</v>
      </c>
      <c r="U481" s="14">
        <f>SUM(Q481:S481)</f>
        <v>537182.04</v>
      </c>
      <c r="V481" s="14">
        <f t="shared" ref="V481:V536" si="66">IF(U481="","",U481-SUM(Q481:S481))</f>
        <v>0</v>
      </c>
      <c r="X481" s="85">
        <f t="shared" si="63"/>
        <v>0</v>
      </c>
      <c r="Y481" s="21">
        <f t="shared" si="64"/>
        <v>3.0437364612458214E-2</v>
      </c>
      <c r="AA481" s="55">
        <f t="shared" si="60"/>
        <v>60845.86</v>
      </c>
      <c r="AB481" s="55">
        <f t="shared" si="61"/>
        <v>-0.16000000014901161</v>
      </c>
      <c r="AC481" s="55">
        <f t="shared" si="65"/>
        <v>1999051.5202191779</v>
      </c>
    </row>
    <row r="482" spans="1:29">
      <c r="A482" t="s">
        <v>199</v>
      </c>
      <c r="B482" s="16" t="str">
        <f>INDEX(emprunts!C:C,MATCH($A482,emprunts!A:A,0))</f>
        <v>Dexia CL</v>
      </c>
      <c r="C482" s="18">
        <f>INDEX(emprunts!M:M,MATCH($A482,emprunts!$A:$A,0))</f>
        <v>38777</v>
      </c>
      <c r="D482" s="18">
        <f>IF(INDEX(emprunts!O:O,MATCH($A482,emprunts!$A:$A,0))="",INDEX(emprunts!N:N,MATCH($A482,emprunts!$A:$A,0)),MIN(INDEX(emprunts!N:N,MATCH($A482,emprunts!$A:$A,0)),INDEX(emprunts!O:O,MATCH($A482,emprunts!$A:$A,0))))</f>
        <v>40452</v>
      </c>
      <c r="E482" s="52">
        <f>INDEX(emprunts!I:I,MATCH($A482,emprunts!$A:$A,0))</f>
        <v>16.25</v>
      </c>
      <c r="F482" s="18" t="str">
        <f>INDEX(emprunts!P:P,MATCH($A482,emprunts!$A:$A,0))</f>
        <v>Change</v>
      </c>
      <c r="G482" s="126" t="str">
        <f>IF(LEFT(A482,3)="vx_","vx",INDEX(Categorie,MATCH($A482,emprunts!$A$2:$A$149,0)))</f>
        <v>Struct</v>
      </c>
      <c r="H482">
        <v>2009</v>
      </c>
      <c r="I482">
        <f t="shared" si="62"/>
        <v>1</v>
      </c>
      <c r="L482" s="5">
        <v>39234</v>
      </c>
      <c r="M482" s="5">
        <v>39234</v>
      </c>
      <c r="N482" s="14">
        <v>11244942</v>
      </c>
      <c r="O482" s="14">
        <v>7740150</v>
      </c>
      <c r="P482" s="4">
        <v>2.9423000000000001E-2</v>
      </c>
      <c r="Q482" s="14">
        <v>262316.07</v>
      </c>
      <c r="R482" s="14">
        <v>1181323</v>
      </c>
      <c r="S482" s="14"/>
      <c r="T482" s="14">
        <v>132808.07</v>
      </c>
      <c r="U482" s="14">
        <f>SUM(Q482:S482)</f>
        <v>1443639.07</v>
      </c>
      <c r="V482" s="14">
        <f t="shared" si="66"/>
        <v>0</v>
      </c>
      <c r="X482" s="85">
        <f t="shared" si="63"/>
        <v>0</v>
      </c>
      <c r="Y482" s="21">
        <f t="shared" si="64"/>
        <v>2.9134196953319379E-2</v>
      </c>
      <c r="Z482" t="s">
        <v>621</v>
      </c>
      <c r="AA482" s="55">
        <f t="shared" si="60"/>
        <v>242046.54</v>
      </c>
      <c r="AB482" s="55">
        <f t="shared" si="61"/>
        <v>0</v>
      </c>
      <c r="AC482" s="55">
        <f t="shared" si="65"/>
        <v>8307987.3589041093</v>
      </c>
    </row>
    <row r="483" spans="1:29">
      <c r="A483" t="s">
        <v>204</v>
      </c>
      <c r="B483" s="16" t="str">
        <f>INDEX(emprunts!C:C,MATCH($A483,emprunts!A:A,0))</f>
        <v>Crédit Agricole</v>
      </c>
      <c r="C483" s="18">
        <f>INDEX(emprunts!M:M,MATCH($A483,emprunts!$A:$A,0))</f>
        <v>38782</v>
      </c>
      <c r="D483" s="18">
        <f>IF(INDEX(emprunts!O:O,MATCH($A483,emprunts!$A:$A,0))="",INDEX(emprunts!N:N,MATCH($A483,emprunts!$A:$A,0)),MIN(INDEX(emprunts!N:N,MATCH($A483,emprunts!$A:$A,0)),INDEX(emprunts!O:O,MATCH($A483,emprunts!$A:$A,0))))</f>
        <v>44257</v>
      </c>
      <c r="E483" s="52">
        <f>INDEX(emprunts!I:I,MATCH($A483,emprunts!$A:$A,0))</f>
        <v>15</v>
      </c>
      <c r="F483" s="18" t="str">
        <f>INDEX(emprunts!P:P,MATCH($A483,emprunts!$A:$A,0))</f>
        <v>Barrière</v>
      </c>
      <c r="G483" s="126" t="str">
        <f>IF(LEFT(A483,3)="vx_","vx",INDEX(Categorie,MATCH($A483,emprunts!$A$2:$A$149,0)))</f>
        <v>Struct</v>
      </c>
      <c r="H483">
        <v>2009</v>
      </c>
      <c r="I483">
        <f t="shared" si="62"/>
        <v>1</v>
      </c>
      <c r="N483" s="14"/>
      <c r="O483" s="14"/>
      <c r="Q483" s="14"/>
      <c r="R483" s="14"/>
      <c r="S483" s="14"/>
      <c r="T483" s="14"/>
      <c r="U483" s="14"/>
      <c r="V483" s="14" t="str">
        <f t="shared" si="66"/>
        <v/>
      </c>
      <c r="X483" s="85">
        <f t="shared" si="63"/>
        <v>0</v>
      </c>
      <c r="Y483" s="21" t="str">
        <f t="shared" si="64"/>
        <v/>
      </c>
      <c r="AA483" s="55">
        <f t="shared" si="60"/>
        <v>0</v>
      </c>
      <c r="AB483" s="55">
        <f t="shared" si="61"/>
        <v>0</v>
      </c>
      <c r="AC483" s="55">
        <f t="shared" si="65"/>
        <v>0</v>
      </c>
    </row>
    <row r="484" spans="1:29">
      <c r="A484" t="s">
        <v>207</v>
      </c>
      <c r="B484" s="16" t="str">
        <f>INDEX(emprunts!C:C,MATCH($A484,emprunts!A:A,0))</f>
        <v>Crédit Agricole</v>
      </c>
      <c r="C484" s="18">
        <f>INDEX(emprunts!M:M,MATCH($A484,emprunts!$A:$A,0))</f>
        <v>38782</v>
      </c>
      <c r="D484" s="18">
        <f>IF(INDEX(emprunts!O:O,MATCH($A484,emprunts!$A:$A,0))="",INDEX(emprunts!N:N,MATCH($A484,emprunts!$A:$A,0)),MIN(INDEX(emprunts!N:N,MATCH($A484,emprunts!$A:$A,0)),INDEX(emprunts!O:O,MATCH($A484,emprunts!$A:$A,0))))</f>
        <v>44261</v>
      </c>
      <c r="E484" s="52">
        <f>INDEX(emprunts!I:I,MATCH($A484,emprunts!$A:$A,0))</f>
        <v>15</v>
      </c>
      <c r="F484" s="18" t="str">
        <f>INDEX(emprunts!P:P,MATCH($A484,emprunts!$A:$A,0))</f>
        <v>Fixe</v>
      </c>
      <c r="G484" s="126" t="str">
        <f>IF(LEFT(A484,3)="vx_","vx",INDEX(Categorie,MATCH($A484,emprunts!$A$2:$A$149,0)))</f>
        <v>Non_st</v>
      </c>
      <c r="H484">
        <v>2009</v>
      </c>
      <c r="I484">
        <f t="shared" si="62"/>
        <v>1</v>
      </c>
      <c r="L484" s="5">
        <v>39147</v>
      </c>
      <c r="M484" s="5">
        <v>39147</v>
      </c>
      <c r="N484" s="14">
        <v>5000000</v>
      </c>
      <c r="O484" s="14">
        <v>4201255</v>
      </c>
      <c r="P484" s="4">
        <v>3.6200000000000003E-2</v>
      </c>
      <c r="Q484" s="14">
        <v>162068.32</v>
      </c>
      <c r="R484" s="14">
        <v>275770.18</v>
      </c>
      <c r="S484" s="14"/>
      <c r="T484" s="14">
        <v>125001.73</v>
      </c>
      <c r="U484" s="14">
        <f>SUM(Q484:S484)</f>
        <v>437838.5</v>
      </c>
      <c r="V484" s="14">
        <f t="shared" si="66"/>
        <v>0</v>
      </c>
      <c r="X484" s="85">
        <f t="shared" si="63"/>
        <v>0</v>
      </c>
      <c r="Y484" s="21">
        <f t="shared" si="64"/>
        <v>3.5556794186466019E-2</v>
      </c>
      <c r="AA484" s="55">
        <f t="shared" si="60"/>
        <v>153863.21</v>
      </c>
      <c r="AB484" s="55">
        <f t="shared" si="61"/>
        <v>0.17999999970197678</v>
      </c>
      <c r="AC484" s="55">
        <f t="shared" si="65"/>
        <v>4327252.0349589037</v>
      </c>
    </row>
    <row r="485" spans="1:29">
      <c r="A485" t="s">
        <v>209</v>
      </c>
      <c r="B485" s="16" t="str">
        <f>INDEX(emprunts!C:C,MATCH($A485,emprunts!A:A,0))</f>
        <v>Dexia CL</v>
      </c>
      <c r="C485" s="18">
        <f>INDEX(emprunts!M:M,MATCH($A485,emprunts!$A:$A,0))</f>
        <v>38849</v>
      </c>
      <c r="D485" s="18">
        <f>IF(INDEX(emprunts!O:O,MATCH($A485,emprunts!$A:$A,0))="",INDEX(emprunts!N:N,MATCH($A485,emprunts!$A:$A,0)),MIN(INDEX(emprunts!N:N,MATCH($A485,emprunts!$A:$A,0)),INDEX(emprunts!O:O,MATCH($A485,emprunts!$A:$A,0))))</f>
        <v>39539</v>
      </c>
      <c r="E485" s="52">
        <f>INDEX(emprunts!I:I,MATCH($A485,emprunts!$A:$A,0))</f>
        <v>16.670000000000002</v>
      </c>
      <c r="F485" s="18" t="str">
        <f>INDEX(emprunts!P:P,MATCH($A485,emprunts!$A:$A,0))</f>
        <v>Fixe</v>
      </c>
      <c r="G485" s="126" t="str">
        <f>IF(LEFT(A485,3)="vx_","vx",INDEX(Categorie,MATCH($A485,emprunts!$A$2:$A$149,0)))</f>
        <v>Non_st</v>
      </c>
      <c r="H485">
        <v>2009</v>
      </c>
      <c r="I485">
        <f t="shared" si="62"/>
        <v>1</v>
      </c>
      <c r="N485" s="14"/>
      <c r="O485" s="14"/>
      <c r="Q485" s="14"/>
      <c r="R485" s="14"/>
      <c r="S485" s="14"/>
      <c r="T485" s="14"/>
      <c r="U485" s="14"/>
      <c r="V485" s="14" t="str">
        <f t="shared" si="66"/>
        <v/>
      </c>
      <c r="X485" s="85">
        <f t="shared" si="63"/>
        <v>0</v>
      </c>
      <c r="Y485" s="21" t="str">
        <f t="shared" si="64"/>
        <v/>
      </c>
      <c r="AA485" s="55">
        <f t="shared" si="60"/>
        <v>0</v>
      </c>
      <c r="AB485" s="55">
        <f t="shared" si="61"/>
        <v>0</v>
      </c>
      <c r="AC485" s="55">
        <f t="shared" si="65"/>
        <v>0</v>
      </c>
    </row>
    <row r="486" spans="1:29">
      <c r="A486" t="s">
        <v>211</v>
      </c>
      <c r="B486" s="16" t="str">
        <f>INDEX(emprunts!C:C,MATCH($A486,emprunts!A:A,0))</f>
        <v>Dexia CL</v>
      </c>
      <c r="C486" s="18">
        <f>INDEX(emprunts!M:M,MATCH($A486,emprunts!$A:$A,0))</f>
        <v>38899</v>
      </c>
      <c r="D486" s="18">
        <f>IF(INDEX(emprunts!O:O,MATCH($A486,emprunts!$A:$A,0))="",INDEX(emprunts!N:N,MATCH($A486,emprunts!$A:$A,0)),MIN(INDEX(emprunts!N:N,MATCH($A486,emprunts!$A:$A,0)),INDEX(emprunts!O:O,MATCH($A486,emprunts!$A:$A,0))))</f>
        <v>40737</v>
      </c>
      <c r="E486" s="52">
        <f>INDEX(emprunts!I:I,MATCH($A486,emprunts!$A:$A,0))</f>
        <v>20</v>
      </c>
      <c r="F486" s="18" t="str">
        <f>INDEX(emprunts!P:P,MATCH($A486,emprunts!$A:$A,0))</f>
        <v>Change</v>
      </c>
      <c r="G486" s="126" t="str">
        <f>IF(LEFT(A486,3)="vx_","vx",INDEX(Categorie,MATCH($A486,emprunts!$A$2:$A$149,0)))</f>
        <v>Struct</v>
      </c>
      <c r="H486">
        <v>2009</v>
      </c>
      <c r="I486">
        <f t="shared" si="62"/>
        <v>1</v>
      </c>
      <c r="L486" s="5">
        <v>39264</v>
      </c>
      <c r="M486" s="5">
        <v>39264</v>
      </c>
      <c r="N486" s="14">
        <v>16517587.16</v>
      </c>
      <c r="O486" s="14">
        <v>15274621</v>
      </c>
      <c r="P486" s="4">
        <v>3.9974999999999997E-2</v>
      </c>
      <c r="Q486" s="14">
        <v>632667.61</v>
      </c>
      <c r="R486" s="14">
        <v>562966.39</v>
      </c>
      <c r="S486" s="14"/>
      <c r="T486" s="14">
        <v>305925.2</v>
      </c>
      <c r="U486" s="14">
        <f>SUM(Q486:S486)</f>
        <v>1195634</v>
      </c>
      <c r="V486" s="14">
        <f t="shared" si="66"/>
        <v>0</v>
      </c>
      <c r="X486" s="85">
        <f t="shared" si="63"/>
        <v>0</v>
      </c>
      <c r="Y486" s="21">
        <f t="shared" si="64"/>
        <v>4.0055011543614544E-2</v>
      </c>
      <c r="AA486" s="55">
        <f t="shared" si="60"/>
        <v>621392.81000000006</v>
      </c>
      <c r="AB486" s="55">
        <f t="shared" si="61"/>
        <v>0.39000000059604645</v>
      </c>
      <c r="AC486" s="55">
        <f t="shared" si="65"/>
        <v>15513484.731452055</v>
      </c>
    </row>
    <row r="487" spans="1:29">
      <c r="A487" t="s">
        <v>213</v>
      </c>
      <c r="B487" s="16" t="str">
        <f>INDEX(emprunts!C:C,MATCH($A487,emprunts!A:A,0))</f>
        <v>Dexia CL</v>
      </c>
      <c r="C487" s="18">
        <f>INDEX(emprunts!M:M,MATCH($A487,emprunts!$A:$A,0))</f>
        <v>38899</v>
      </c>
      <c r="D487" s="18">
        <f>IF(INDEX(emprunts!O:O,MATCH($A487,emprunts!$A:$A,0))="",INDEX(emprunts!N:N,MATCH($A487,emprunts!$A:$A,0)),MIN(INDEX(emprunts!N:N,MATCH($A487,emprunts!$A:$A,0)),INDEX(emprunts!O:O,MATCH($A487,emprunts!$A:$A,0))))</f>
        <v>39783</v>
      </c>
      <c r="E487" s="52">
        <f>INDEX(emprunts!I:I,MATCH($A487,emprunts!$A:$A,0))</f>
        <v>19.75</v>
      </c>
      <c r="F487" s="18" t="str">
        <f>INDEX(emprunts!P:P,MATCH($A487,emprunts!$A:$A,0))</f>
        <v>Pente</v>
      </c>
      <c r="G487" s="126" t="str">
        <f>IF(LEFT(A487,3)="vx_","vx",INDEX(Categorie,MATCH($A487,emprunts!$A$2:$A$149,0)))</f>
        <v>Struct</v>
      </c>
      <c r="H487">
        <v>2009</v>
      </c>
      <c r="I487">
        <f t="shared" si="62"/>
        <v>1</v>
      </c>
      <c r="N487" s="14"/>
      <c r="O487" s="14"/>
      <c r="Q487" s="14"/>
      <c r="R487" s="14"/>
      <c r="S487" s="14"/>
      <c r="T487" s="14"/>
      <c r="U487" s="14"/>
      <c r="V487" s="14" t="str">
        <f t="shared" si="66"/>
        <v/>
      </c>
      <c r="X487" s="85">
        <f t="shared" si="63"/>
        <v>0</v>
      </c>
      <c r="Y487" s="21" t="str">
        <f t="shared" si="64"/>
        <v/>
      </c>
      <c r="AA487" s="55">
        <f t="shared" si="60"/>
        <v>0</v>
      </c>
      <c r="AB487" s="55">
        <f t="shared" si="61"/>
        <v>0</v>
      </c>
      <c r="AC487" s="55">
        <f t="shared" si="65"/>
        <v>0</v>
      </c>
    </row>
    <row r="488" spans="1:29">
      <c r="A488" t="s">
        <v>215</v>
      </c>
      <c r="B488" s="16" t="str">
        <f>INDEX(emprunts!C:C,MATCH($A488,emprunts!A:A,0))</f>
        <v>Dexia CL</v>
      </c>
      <c r="C488" s="18">
        <f>INDEX(emprunts!M:M,MATCH($A488,emprunts!$A:$A,0))</f>
        <v>38991</v>
      </c>
      <c r="D488" s="18">
        <f>IF(INDEX(emprunts!O:O,MATCH($A488,emprunts!$A:$A,0))="",INDEX(emprunts!N:N,MATCH($A488,emprunts!$A:$A,0)),MIN(INDEX(emprunts!N:N,MATCH($A488,emprunts!$A:$A,0)),INDEX(emprunts!O:O,MATCH($A488,emprunts!$A:$A,0))))</f>
        <v>40087</v>
      </c>
      <c r="E488" s="52">
        <f>INDEX(emprunts!I:I,MATCH($A488,emprunts!$A:$A,0))</f>
        <v>19</v>
      </c>
      <c r="F488" s="18" t="str">
        <f>INDEX(emprunts!P:P,MATCH($A488,emprunts!$A:$A,0))</f>
        <v>Change</v>
      </c>
      <c r="G488" s="126" t="str">
        <f>IF(LEFT(A488,3)="vx_","vx",INDEX(Categorie,MATCH($A488,emprunts!$A$2:$A$149,0)))</f>
        <v>Struct</v>
      </c>
      <c r="H488">
        <v>2009</v>
      </c>
      <c r="I488">
        <f t="shared" si="62"/>
        <v>1</v>
      </c>
      <c r="N488" s="14">
        <v>12000000</v>
      </c>
      <c r="O488" s="14">
        <v>0</v>
      </c>
      <c r="Q488" s="14">
        <v>437864.24</v>
      </c>
      <c r="R488" s="14">
        <v>435224</v>
      </c>
      <c r="S488" s="14"/>
      <c r="T488" s="14">
        <v>90730.74</v>
      </c>
      <c r="U488" s="14">
        <f>SUM(Q488:S488)</f>
        <v>873088.24</v>
      </c>
      <c r="V488" s="14">
        <f t="shared" si="66"/>
        <v>0</v>
      </c>
      <c r="X488" s="85">
        <f t="shared" si="63"/>
        <v>10811000</v>
      </c>
      <c r="Y488" s="21">
        <f t="shared" si="64"/>
        <v>5.2639398852802673E-2</v>
      </c>
      <c r="AA488" s="55">
        <f t="shared" si="60"/>
        <v>434211.74</v>
      </c>
      <c r="AB488" s="55">
        <f t="shared" si="61"/>
        <v>-289</v>
      </c>
      <c r="AC488" s="55">
        <f t="shared" si="65"/>
        <v>8248797.4684931515</v>
      </c>
    </row>
    <row r="489" spans="1:29">
      <c r="A489" t="s">
        <v>217</v>
      </c>
      <c r="B489" s="16" t="str">
        <f>INDEX(emprunts!C:C,MATCH($A489,emprunts!A:A,0))</f>
        <v>Dexia CL</v>
      </c>
      <c r="C489" s="18">
        <f>INDEX(emprunts!M:M,MATCH($A489,emprunts!$A:$A,0))</f>
        <v>38991</v>
      </c>
      <c r="D489" s="18">
        <f>IF(INDEX(emprunts!O:O,MATCH($A489,emprunts!$A:$A,0))="",INDEX(emprunts!N:N,MATCH($A489,emprunts!$A:$A,0)),MIN(INDEX(emprunts!N:N,MATCH($A489,emprunts!$A:$A,0)),INDEX(emprunts!O:O,MATCH($A489,emprunts!$A:$A,0))))</f>
        <v>39783</v>
      </c>
      <c r="E489" s="52">
        <f>INDEX(emprunts!I:I,MATCH($A489,emprunts!$A:$A,0))</f>
        <v>19.170000000000002</v>
      </c>
      <c r="F489" s="18" t="str">
        <f>INDEX(emprunts!P:P,MATCH($A489,emprunts!$A:$A,0))</f>
        <v>Change</v>
      </c>
      <c r="G489" s="126" t="str">
        <f>IF(LEFT(A489,3)="vx_","vx",INDEX(Categorie,MATCH($A489,emprunts!$A$2:$A$149,0)))</f>
        <v>Struct</v>
      </c>
      <c r="H489">
        <v>2009</v>
      </c>
      <c r="I489">
        <f t="shared" si="62"/>
        <v>1</v>
      </c>
      <c r="N489" s="14"/>
      <c r="O489" s="14"/>
      <c r="Q489" s="14"/>
      <c r="R489" s="14"/>
      <c r="S489" s="14"/>
      <c r="T489" s="14"/>
      <c r="U489" s="14"/>
      <c r="V489" s="14" t="str">
        <f t="shared" si="66"/>
        <v/>
      </c>
      <c r="X489" s="85">
        <f t="shared" si="63"/>
        <v>0</v>
      </c>
      <c r="Y489" s="21" t="str">
        <f t="shared" si="64"/>
        <v/>
      </c>
      <c r="AA489" s="55">
        <f t="shared" si="60"/>
        <v>0</v>
      </c>
      <c r="AB489" s="55">
        <f t="shared" si="61"/>
        <v>0</v>
      </c>
      <c r="AC489" s="55">
        <f t="shared" si="65"/>
        <v>0</v>
      </c>
    </row>
    <row r="490" spans="1:29">
      <c r="A490" t="s">
        <v>503</v>
      </c>
      <c r="B490" s="16" t="str">
        <f>INDEX(emprunts!C:C,MATCH($A490,emprunts!A:A,0))</f>
        <v>Société Générale</v>
      </c>
      <c r="C490" s="18">
        <f>INDEX(emprunts!M:M,MATCH($A490,emprunts!$A:$A,0))</f>
        <v>39356</v>
      </c>
      <c r="D490" s="18">
        <f>IF(INDEX(emprunts!O:O,MATCH($A490,emprunts!$A:$A,0))="",INDEX(emprunts!N:N,MATCH($A490,emprunts!$A:$A,0)),MIN(INDEX(emprunts!N:N,MATCH($A490,emprunts!$A:$A,0)),INDEX(emprunts!O:O,MATCH($A490,emprunts!$A:$A,0))))</f>
        <v>40513</v>
      </c>
      <c r="E490" s="52">
        <f>INDEX(emprunts!I:I,MATCH($A490,emprunts!$A:$A,0))</f>
        <v>20</v>
      </c>
      <c r="F490" s="18" t="str">
        <f>INDEX(emprunts!P:P,MATCH($A490,emprunts!$A:$A,0))</f>
        <v>Barrière avec multiplicateur</v>
      </c>
      <c r="G490" s="126" t="str">
        <f>IF(LEFT(A490,3)="vx_","vx",INDEX(Categorie,MATCH($A490,emprunts!$A$2:$A$149,0)))</f>
        <v>Struct</v>
      </c>
      <c r="H490">
        <v>2009</v>
      </c>
      <c r="I490">
        <f t="shared" si="62"/>
        <v>1</v>
      </c>
      <c r="N490" s="14"/>
      <c r="O490" s="14">
        <v>2685514</v>
      </c>
      <c r="Q490" s="85">
        <v>101216.42499999999</v>
      </c>
      <c r="R490" s="85">
        <v>109049.88</v>
      </c>
      <c r="S490" s="14"/>
      <c r="T490" s="85">
        <v>0</v>
      </c>
      <c r="U490" s="14">
        <f>SUM(Q490:T490)</f>
        <v>210266.30499999999</v>
      </c>
      <c r="V490" s="14">
        <f t="shared" si="66"/>
        <v>0</v>
      </c>
      <c r="X490" s="85">
        <f t="shared" si="63"/>
        <v>0</v>
      </c>
      <c r="Y490" s="21">
        <f t="shared" si="64"/>
        <v>3.7041259020081055E-2</v>
      </c>
      <c r="Z490" t="s">
        <v>674</v>
      </c>
      <c r="AA490" s="55">
        <f t="shared" si="60"/>
        <v>101216.42499999999</v>
      </c>
      <c r="AB490" s="55">
        <f t="shared" si="61"/>
        <v>83.879999999888241</v>
      </c>
      <c r="AC490" s="55">
        <f t="shared" si="65"/>
        <v>2732531.9840000002</v>
      </c>
    </row>
    <row r="491" spans="1:29">
      <c r="A491" t="s">
        <v>502</v>
      </c>
      <c r="B491" s="16" t="str">
        <f>INDEX(emprunts!C:C,MATCH($A491,emprunts!A:A,0))</f>
        <v>Société Générale</v>
      </c>
      <c r="C491" s="18">
        <f>INDEX(emprunts!M:M,MATCH($A491,emprunts!$A:$A,0))</f>
        <v>39356</v>
      </c>
      <c r="D491" s="18">
        <f>IF(INDEX(emprunts!O:O,MATCH($A491,emprunts!$A:$A,0))="",INDEX(emprunts!N:N,MATCH($A491,emprunts!$A:$A,0)),MIN(INDEX(emprunts!N:N,MATCH($A491,emprunts!$A:$A,0)),INDEX(emprunts!O:O,MATCH($A491,emprunts!$A:$A,0))))</f>
        <v>40452</v>
      </c>
      <c r="E491" s="52">
        <f>INDEX(emprunts!I:I,MATCH($A491,emprunts!$A:$A,0))</f>
        <v>20.079999999999998</v>
      </c>
      <c r="F491" s="18" t="str">
        <f>INDEX(emprunts!P:P,MATCH($A491,emprunts!$A:$A,0))</f>
        <v>Écart d'inflation</v>
      </c>
      <c r="G491" s="126" t="str">
        <f>IF(LEFT(A491,3)="vx_","vx",INDEX(Categorie,MATCH($A491,emprunts!$A$2:$A$149,0)))</f>
        <v>Struct</v>
      </c>
      <c r="H491">
        <v>2009</v>
      </c>
      <c r="I491">
        <f t="shared" si="62"/>
        <v>1</v>
      </c>
      <c r="N491" s="14">
        <v>5000000</v>
      </c>
      <c r="O491" s="14">
        <v>4657466</v>
      </c>
      <c r="P491" s="4">
        <v>3.3480999999999997E-2</v>
      </c>
      <c r="Q491" s="14">
        <v>162116.66</v>
      </c>
      <c r="R491" s="14">
        <v>174625.1</v>
      </c>
      <c r="S491" s="14"/>
      <c r="T491" s="14">
        <v>0</v>
      </c>
      <c r="U491" s="14">
        <f>SUM(Q491:S491)</f>
        <v>336741.76</v>
      </c>
      <c r="V491" s="14">
        <f t="shared" si="66"/>
        <v>0</v>
      </c>
      <c r="X491" s="85">
        <f t="shared" si="63"/>
        <v>0</v>
      </c>
      <c r="Y491" s="21">
        <f t="shared" si="64"/>
        <v>3.4261248175546662E-2</v>
      </c>
      <c r="AA491" s="55">
        <f t="shared" si="60"/>
        <v>162116.66</v>
      </c>
      <c r="AB491" s="55">
        <f t="shared" si="61"/>
        <v>9.999999962747097E-2</v>
      </c>
      <c r="AC491" s="55">
        <f t="shared" si="65"/>
        <v>4731779.156712329</v>
      </c>
    </row>
    <row r="492" spans="1:29">
      <c r="A492" t="s">
        <v>222</v>
      </c>
      <c r="B492" s="16" t="str">
        <f>INDEX(emprunts!C:C,MATCH($A492,emprunts!A:A,0))</f>
        <v>Dexia CL</v>
      </c>
      <c r="C492" s="18">
        <f>INDEX(emprunts!M:M,MATCH($A492,emprunts!$A:$A,0))</f>
        <v>39114</v>
      </c>
      <c r="D492" s="18">
        <f>IF(INDEX(emprunts!O:O,MATCH($A492,emprunts!$A:$A,0))="",INDEX(emprunts!N:N,MATCH($A492,emprunts!$A:$A,0)),MIN(INDEX(emprunts!N:N,MATCH($A492,emprunts!$A:$A,0)),INDEX(emprunts!O:O,MATCH($A492,emprunts!$A:$A,0))))</f>
        <v>39668</v>
      </c>
      <c r="E492" s="52">
        <f>INDEX(emprunts!I:I,MATCH($A492,emprunts!$A:$A,0))</f>
        <v>18.75</v>
      </c>
      <c r="F492" s="18" t="str">
        <f>INDEX(emprunts!P:P,MATCH($A492,emprunts!$A:$A,0))</f>
        <v>Change</v>
      </c>
      <c r="G492" s="126" t="str">
        <f>IF(LEFT(A492,3)="vx_","vx",INDEX(Categorie,MATCH($A492,emprunts!$A$2:$A$149,0)))</f>
        <v>Struct</v>
      </c>
      <c r="H492">
        <v>2009</v>
      </c>
      <c r="I492">
        <f t="shared" si="62"/>
        <v>1</v>
      </c>
      <c r="N492" s="14"/>
      <c r="O492" s="14"/>
      <c r="Q492" s="14"/>
      <c r="R492" s="14"/>
      <c r="S492" s="14"/>
      <c r="T492" s="14"/>
      <c r="U492" s="14"/>
      <c r="V492" s="14" t="str">
        <f t="shared" si="66"/>
        <v/>
      </c>
      <c r="X492" s="85">
        <f t="shared" si="63"/>
        <v>0</v>
      </c>
      <c r="Y492" s="21" t="str">
        <f t="shared" si="64"/>
        <v/>
      </c>
      <c r="AA492" s="55">
        <f t="shared" si="60"/>
        <v>0</v>
      </c>
      <c r="AB492" s="55">
        <f t="shared" si="61"/>
        <v>0</v>
      </c>
      <c r="AC492" s="55">
        <f t="shared" si="65"/>
        <v>0</v>
      </c>
    </row>
    <row r="493" spans="1:29">
      <c r="A493" t="s">
        <v>223</v>
      </c>
      <c r="B493" s="16" t="str">
        <f>INDEX(emprunts!C:C,MATCH($A493,emprunts!A:A,0))</f>
        <v>Crédit Agricole</v>
      </c>
      <c r="C493" s="18">
        <f>INDEX(emprunts!M:M,MATCH($A493,emprunts!$A:$A,0))</f>
        <v>39182</v>
      </c>
      <c r="D493" s="18">
        <f>IF(INDEX(emprunts!O:O,MATCH($A493,emprunts!$A:$A,0))="",INDEX(emprunts!N:N,MATCH($A493,emprunts!$A:$A,0)),MIN(INDEX(emprunts!N:N,MATCH($A493,emprunts!$A:$A,0)),INDEX(emprunts!O:O,MATCH($A493,emprunts!$A:$A,0))))</f>
        <v>46813</v>
      </c>
      <c r="E493" s="52">
        <f>INDEX(emprunts!I:I,MATCH($A493,emprunts!$A:$A,0))</f>
        <v>20</v>
      </c>
      <c r="F493" s="18" t="str">
        <f>INDEX(emprunts!P:P,MATCH($A493,emprunts!$A:$A,0))</f>
        <v>Pente</v>
      </c>
      <c r="G493" s="126" t="str">
        <f>IF(LEFT(A493,3)="vx_","vx",INDEX(Categorie,MATCH($A493,emprunts!$A$2:$A$149,0)))</f>
        <v>Struct</v>
      </c>
      <c r="H493">
        <v>2009</v>
      </c>
      <c r="I493">
        <f t="shared" si="62"/>
        <v>1</v>
      </c>
      <c r="N493" s="14">
        <v>5000000</v>
      </c>
      <c r="O493" s="14">
        <v>4712643</v>
      </c>
      <c r="P493" s="4">
        <v>4.2104999999999997E-2</v>
      </c>
      <c r="Q493" s="14">
        <v>184472.81</v>
      </c>
      <c r="R493" s="14">
        <v>166832.51</v>
      </c>
      <c r="S493" s="14">
        <v>-1590.429999999993</v>
      </c>
      <c r="T493" s="14">
        <v>13745.21</v>
      </c>
      <c r="U493" s="14">
        <f>SUM(Q493:S493)</f>
        <v>349714.89</v>
      </c>
      <c r="V493" s="14">
        <f t="shared" si="66"/>
        <v>0</v>
      </c>
      <c r="X493" s="85">
        <f t="shared" si="63"/>
        <v>0</v>
      </c>
      <c r="Y493" s="21">
        <f t="shared" si="64"/>
        <v>3.8134824365335086E-2</v>
      </c>
      <c r="AA493" s="55">
        <f t="shared" si="60"/>
        <v>182395.79</v>
      </c>
      <c r="AB493" s="55">
        <f t="shared" si="61"/>
        <v>-0.49000000022351742</v>
      </c>
      <c r="AC493" s="55">
        <f t="shared" si="65"/>
        <v>4782919.366630137</v>
      </c>
    </row>
    <row r="494" spans="1:29">
      <c r="A494" t="s">
        <v>225</v>
      </c>
      <c r="B494" s="16" t="str">
        <f>INDEX(emprunts!C:C,MATCH($A494,emprunts!A:A,0))</f>
        <v>Dexia CL</v>
      </c>
      <c r="C494" s="18">
        <f>INDEX(emprunts!M:M,MATCH($A494,emprunts!$A:$A,0))</f>
        <v>39539</v>
      </c>
      <c r="D494" s="18">
        <f>IF(INDEX(emprunts!O:O,MATCH($A494,emprunts!$A:$A,0))="",INDEX(emprunts!N:N,MATCH($A494,emprunts!$A:$A,0)),MIN(INDEX(emprunts!N:N,MATCH($A494,emprunts!$A:$A,0)),INDEX(emprunts!O:O,MATCH($A494,emprunts!$A:$A,0))))</f>
        <v>40118</v>
      </c>
      <c r="E494" s="52">
        <f>INDEX(emprunts!I:I,MATCH($A494,emprunts!$A:$A,0))</f>
        <v>25.67</v>
      </c>
      <c r="F494" s="18" t="str">
        <f>INDEX(emprunts!P:P,MATCH($A494,emprunts!$A:$A,0))</f>
        <v>Pente</v>
      </c>
      <c r="G494" s="126" t="str">
        <f>IF(LEFT(A494,3)="vx_","vx",INDEX(Categorie,MATCH($A494,emprunts!$A$2:$A$149,0)))</f>
        <v>Struct</v>
      </c>
      <c r="H494">
        <v>2009</v>
      </c>
      <c r="I494">
        <f t="shared" si="62"/>
        <v>1</v>
      </c>
      <c r="N494" s="14">
        <v>13760792.98</v>
      </c>
      <c r="O494" s="14">
        <v>0</v>
      </c>
      <c r="Q494" s="14">
        <v>376398.93</v>
      </c>
      <c r="R494" s="14">
        <v>419845.93</v>
      </c>
      <c r="S494" s="14"/>
      <c r="T494" s="14">
        <v>80324.89</v>
      </c>
      <c r="U494" s="14">
        <f>SUM(Q494:S494)</f>
        <v>796244.86</v>
      </c>
      <c r="V494" s="14">
        <f t="shared" si="66"/>
        <v>0</v>
      </c>
      <c r="X494" s="85">
        <f t="shared" si="63"/>
        <v>12886000</v>
      </c>
      <c r="Y494" s="21">
        <f t="shared" si="64"/>
        <v>3.6200563718725265E-2</v>
      </c>
      <c r="AA494" s="55">
        <f t="shared" si="60"/>
        <v>394850.02</v>
      </c>
      <c r="AB494" s="55">
        <f t="shared" si="61"/>
        <v>-346.74000000022352</v>
      </c>
      <c r="AC494" s="55">
        <f t="shared" si="65"/>
        <v>10907289.264</v>
      </c>
    </row>
    <row r="495" spans="1:29">
      <c r="A495" t="s">
        <v>227</v>
      </c>
      <c r="B495" s="16" t="str">
        <f>INDEX(emprunts!C:C,MATCH($A495,emprunts!A:A,0))</f>
        <v>Dexia CL</v>
      </c>
      <c r="C495" s="18">
        <f>INDEX(emprunts!M:M,MATCH($A495,emprunts!$A:$A,0))</f>
        <v>39203</v>
      </c>
      <c r="D495" s="18">
        <f>IF(INDEX(emprunts!O:O,MATCH($A495,emprunts!$A:$A,0))="",INDEX(emprunts!N:N,MATCH($A495,emprunts!$A:$A,0)),MIN(INDEX(emprunts!N:N,MATCH($A495,emprunts!$A:$A,0)),INDEX(emprunts!O:O,MATCH($A495,emprunts!$A:$A,0))))</f>
        <v>40176</v>
      </c>
      <c r="E495" s="52">
        <f>INDEX(emprunts!I:I,MATCH($A495,emprunts!$A:$A,0))</f>
        <v>17</v>
      </c>
      <c r="F495" s="18" t="str">
        <f>INDEX(emprunts!P:P,MATCH($A495,emprunts!$A:$A,0))</f>
        <v>Courbes</v>
      </c>
      <c r="G495" s="126" t="str">
        <f>IF(LEFT(A495,3)="vx_","vx",INDEX(Categorie,MATCH($A495,emprunts!$A$2:$A$149,0)))</f>
        <v>Struct</v>
      </c>
      <c r="H495">
        <v>2009</v>
      </c>
      <c r="I495">
        <f t="shared" si="62"/>
        <v>1</v>
      </c>
      <c r="N495" s="14">
        <v>16991098.010000002</v>
      </c>
      <c r="O495" s="14">
        <v>0</v>
      </c>
      <c r="Q495" s="14">
        <v>430389.04</v>
      </c>
      <c r="R495" s="14">
        <v>596319.31000000006</v>
      </c>
      <c r="S495" s="14"/>
      <c r="T495" s="14">
        <v>405143.8</v>
      </c>
      <c r="U495" s="14">
        <f>SUM(Q495:S495)</f>
        <v>1026708.3500000001</v>
      </c>
      <c r="V495" s="14">
        <f t="shared" si="66"/>
        <v>0</v>
      </c>
      <c r="X495" s="85">
        <f t="shared" si="63"/>
        <v>15730000</v>
      </c>
      <c r="Y495" s="21">
        <f t="shared" si="64"/>
        <v>3.4461889107964411E-2</v>
      </c>
      <c r="Z495" t="s">
        <v>640</v>
      </c>
      <c r="AA495" s="55">
        <f t="shared" si="60"/>
        <v>547820.71</v>
      </c>
      <c r="AB495" s="55">
        <f t="shared" si="61"/>
        <v>-345.68999999947846</v>
      </c>
      <c r="AC495" s="55">
        <f t="shared" si="65"/>
        <v>15896421.356465753</v>
      </c>
    </row>
    <row r="496" spans="1:29">
      <c r="A496" t="s">
        <v>231</v>
      </c>
      <c r="B496" s="16" t="str">
        <f>INDEX(emprunts!C:C,MATCH($A496,emprunts!A:A,0))</f>
        <v>Dexia CL</v>
      </c>
      <c r="C496" s="18">
        <f>INDEX(emprunts!M:M,MATCH($A496,emprunts!$A:$A,0))</f>
        <v>39203</v>
      </c>
      <c r="D496" s="18">
        <f>IF(INDEX(emprunts!O:O,MATCH($A496,emprunts!$A:$A,0))="",INDEX(emprunts!N:N,MATCH($A496,emprunts!$A:$A,0)),MIN(INDEX(emprunts!N:N,MATCH($A496,emprunts!$A:$A,0)),INDEX(emprunts!O:O,MATCH($A496,emprunts!$A:$A,0))))</f>
        <v>40176</v>
      </c>
      <c r="E496" s="52">
        <f>INDEX(emprunts!I:I,MATCH($A496,emprunts!$A:$A,0))</f>
        <v>16.920000000000002</v>
      </c>
      <c r="F496" s="18" t="str">
        <f>INDEX(emprunts!P:P,MATCH($A496,emprunts!$A:$A,0))</f>
        <v>Écart d'inflation</v>
      </c>
      <c r="G496" s="126" t="str">
        <f>IF(LEFT(A496,3)="vx_","vx",INDEX(Categorie,MATCH($A496,emprunts!$A$2:$A$149,0)))</f>
        <v>Struct</v>
      </c>
      <c r="H496">
        <v>2009</v>
      </c>
      <c r="I496">
        <f t="shared" si="62"/>
        <v>1</v>
      </c>
      <c r="N496" s="14">
        <v>13957410.35</v>
      </c>
      <c r="O496" s="14">
        <v>0</v>
      </c>
      <c r="Q496" s="14">
        <v>426705.13</v>
      </c>
      <c r="R496" s="14">
        <v>505970</v>
      </c>
      <c r="S496" s="14"/>
      <c r="T496" s="14">
        <v>462100.38</v>
      </c>
      <c r="U496" s="14">
        <f>SUM(Q496:S496)</f>
        <v>932675.13</v>
      </c>
      <c r="V496" s="14">
        <f t="shared" si="66"/>
        <v>0</v>
      </c>
      <c r="X496" s="85">
        <f t="shared" si="63"/>
        <v>13347000</v>
      </c>
      <c r="Y496" s="21">
        <f t="shared" si="64"/>
        <v>4.4720225652182588E-2</v>
      </c>
      <c r="AA496" s="55">
        <f t="shared" si="60"/>
        <v>603195.54</v>
      </c>
      <c r="AB496" s="55">
        <f t="shared" si="61"/>
        <v>-16</v>
      </c>
      <c r="AC496" s="55">
        <f t="shared" si="65"/>
        <v>13488204.301369863</v>
      </c>
    </row>
    <row r="497" spans="1:29">
      <c r="A497" t="s">
        <v>233</v>
      </c>
      <c r="B497" s="16" t="str">
        <f>INDEX(emprunts!C:C,MATCH($A497,emprunts!A:A,0))</f>
        <v>Société Générale</v>
      </c>
      <c r="C497" s="18">
        <f>INDEX(emprunts!M:M,MATCH($A497,emprunts!$A:$A,0))</f>
        <v>39226</v>
      </c>
      <c r="D497" s="18">
        <f>IF(INDEX(emprunts!O:O,MATCH($A497,emprunts!$A:$A,0))="",INDEX(emprunts!N:N,MATCH($A497,emprunts!$A:$A,0)),MIN(INDEX(emprunts!N:N,MATCH($A497,emprunts!$A:$A,0)),INDEX(emprunts!O:O,MATCH($A497,emprunts!$A:$A,0))))</f>
        <v>39904</v>
      </c>
      <c r="E497" s="52">
        <f>INDEX(emprunts!I:I,MATCH($A497,emprunts!$A:$A,0))</f>
        <v>19</v>
      </c>
      <c r="F497" s="18" t="str">
        <f>INDEX(emprunts!P:P,MATCH($A497,emprunts!$A:$A,0))</f>
        <v>Change</v>
      </c>
      <c r="G497" s="126" t="str">
        <f>IF(LEFT(A497,3)="vx_","vx",INDEX(Categorie,MATCH($A497,emprunts!$A$2:$A$149,0)))</f>
        <v>Struct</v>
      </c>
      <c r="H497">
        <v>2009</v>
      </c>
      <c r="I497">
        <f t="shared" si="62"/>
        <v>1</v>
      </c>
      <c r="N497" s="14"/>
      <c r="O497" s="14"/>
      <c r="Q497" s="14"/>
      <c r="R497" s="14"/>
      <c r="S497" s="14"/>
      <c r="T497" s="14"/>
      <c r="U497" s="14"/>
      <c r="V497" s="14" t="str">
        <f t="shared" si="66"/>
        <v/>
      </c>
      <c r="X497" s="85">
        <f t="shared" si="63"/>
        <v>4000000</v>
      </c>
      <c r="Y497" s="21" t="str">
        <f t="shared" si="64"/>
        <v/>
      </c>
      <c r="AA497" s="55">
        <f t="shared" si="60"/>
        <v>-95900</v>
      </c>
      <c r="AB497" s="55">
        <f t="shared" si="61"/>
        <v>0</v>
      </c>
      <c r="AC497" s="55">
        <f t="shared" si="65"/>
        <v>986301.36986301362</v>
      </c>
    </row>
    <row r="498" spans="1:29">
      <c r="A498" t="s">
        <v>235</v>
      </c>
      <c r="B498" s="16" t="str">
        <f>INDEX(emprunts!C:C,MATCH($A498,emprunts!A:A,0))</f>
        <v>Caisse d'Épargne</v>
      </c>
      <c r="C498" s="18">
        <f>INDEX(emprunts!M:M,MATCH($A498,emprunts!$A:$A,0))</f>
        <v>39288</v>
      </c>
      <c r="D498" s="18">
        <f>IF(INDEX(emprunts!O:O,MATCH($A498,emprunts!$A:$A,0))="",INDEX(emprunts!N:N,MATCH($A498,emprunts!$A:$A,0)),MIN(INDEX(emprunts!N:N,MATCH($A498,emprunts!$A:$A,0)),INDEX(emprunts!O:O,MATCH($A498,emprunts!$A:$A,0))))</f>
        <v>40964</v>
      </c>
      <c r="E498" s="52">
        <f>INDEX(emprunts!I:I,MATCH($A498,emprunts!$A:$A,0))</f>
        <v>18.579999999999998</v>
      </c>
      <c r="F498" s="18" t="str">
        <f>INDEX(emprunts!P:P,MATCH($A498,emprunts!$A:$A,0))</f>
        <v>Courbes</v>
      </c>
      <c r="G498" s="126" t="str">
        <f>IF(LEFT(A498,3)="vx_","vx",INDEX(Categorie,MATCH($A498,emprunts!$A$2:$A$149,0)))</f>
        <v>Struct</v>
      </c>
      <c r="H498">
        <v>2009</v>
      </c>
      <c r="I498">
        <f t="shared" si="62"/>
        <v>1</v>
      </c>
      <c r="N498" s="14">
        <v>15000869.08</v>
      </c>
      <c r="O498" s="14">
        <v>13594768</v>
      </c>
      <c r="P498" s="4">
        <v>2.2321000000000001E-2</v>
      </c>
      <c r="Q498" s="14">
        <v>319988.86</v>
      </c>
      <c r="R498" s="14">
        <v>711738.31</v>
      </c>
      <c r="S498" s="14"/>
      <c r="T498" s="14">
        <v>0</v>
      </c>
      <c r="U498" s="14">
        <f>SUM(Q498:T498)</f>
        <v>1031727.17</v>
      </c>
      <c r="V498" s="14">
        <f t="shared" si="66"/>
        <v>0</v>
      </c>
      <c r="X498" s="85">
        <f t="shared" si="63"/>
        <v>0</v>
      </c>
      <c r="Y498" s="21">
        <f t="shared" si="64"/>
        <v>2.30002362408031E-2</v>
      </c>
      <c r="AA498" s="55">
        <f t="shared" si="60"/>
        <v>319988.86</v>
      </c>
      <c r="AB498" s="55">
        <f t="shared" si="61"/>
        <v>-0.68999999947845936</v>
      </c>
      <c r="AC498" s="55">
        <f t="shared" si="65"/>
        <v>13912416.231287671</v>
      </c>
    </row>
    <row r="499" spans="1:29">
      <c r="A499" t="s">
        <v>239</v>
      </c>
      <c r="B499" s="16" t="str">
        <f>INDEX(emprunts!C:C,MATCH($A499,emprunts!A:A,0))</f>
        <v>Dexia CL</v>
      </c>
      <c r="C499" s="18">
        <f>INDEX(emprunts!M:M,MATCH($A499,emprunts!$A:$A,0))</f>
        <v>39324</v>
      </c>
      <c r="D499" s="18">
        <f>IF(INDEX(emprunts!O:O,MATCH($A499,emprunts!$A:$A,0))="",INDEX(emprunts!N:N,MATCH($A499,emprunts!$A:$A,0)),MIN(INDEX(emprunts!N:N,MATCH($A499,emprunts!$A:$A,0)),INDEX(emprunts!O:O,MATCH($A499,emprunts!$A:$A,0))))</f>
        <v>40634</v>
      </c>
      <c r="E499" s="52">
        <f>INDEX(emprunts!I:I,MATCH($A499,emprunts!$A:$A,0))</f>
        <v>25</v>
      </c>
      <c r="F499" s="18" t="str">
        <f>INDEX(emprunts!P:P,MATCH($A499,emprunts!$A:$A,0))</f>
        <v>Courbes</v>
      </c>
      <c r="G499" s="126" t="str">
        <f>IF(LEFT(A499,3)="vx_","vx",INDEX(Categorie,MATCH($A499,emprunts!$A$2:$A$149,0)))</f>
        <v>Struct</v>
      </c>
      <c r="H499">
        <v>2009</v>
      </c>
      <c r="I499">
        <f t="shared" si="62"/>
        <v>1</v>
      </c>
      <c r="N499" s="14">
        <v>14311242.439999999</v>
      </c>
      <c r="O499" s="14">
        <v>13853288</v>
      </c>
      <c r="Q499" s="14">
        <v>311965.21000000002</v>
      </c>
      <c r="R499" s="14">
        <v>457954.3</v>
      </c>
      <c r="S499" s="14"/>
      <c r="T499" s="14">
        <v>0</v>
      </c>
      <c r="U499" s="14">
        <f>SUM(Q499:S499)</f>
        <v>769919.51</v>
      </c>
      <c r="V499" s="14">
        <f t="shared" si="66"/>
        <v>0</v>
      </c>
      <c r="X499" s="85">
        <f t="shared" si="63"/>
        <v>0</v>
      </c>
      <c r="Y499" s="21">
        <f t="shared" si="64"/>
        <v>2.2213916152560142E-2</v>
      </c>
      <c r="AA499" s="55">
        <f t="shared" si="60"/>
        <v>311965.21000000002</v>
      </c>
      <c r="AB499" s="55">
        <f t="shared" si="61"/>
        <v>-5287417.6999999993</v>
      </c>
      <c r="AC499" s="55">
        <f t="shared" si="65"/>
        <v>14043683.601643836</v>
      </c>
    </row>
    <row r="500" spans="1:29">
      <c r="A500" t="s">
        <v>504</v>
      </c>
      <c r="B500" s="16" t="str">
        <f>INDEX(emprunts!C:C,MATCH($A500,emprunts!A:A,0))</f>
        <v>Société Générale</v>
      </c>
      <c r="C500" s="18">
        <f>INDEX(emprunts!M:M,MATCH($A500,emprunts!$A:$A,0))</f>
        <v>39356</v>
      </c>
      <c r="D500" s="18">
        <f>IF(INDEX(emprunts!O:O,MATCH($A500,emprunts!$A:$A,0))="",INDEX(emprunts!N:N,MATCH($A500,emprunts!$A:$A,0)),MIN(INDEX(emprunts!N:N,MATCH($A500,emprunts!$A:$A,0)),INDEX(emprunts!O:O,MATCH($A500,emprunts!$A:$A,0))))</f>
        <v>40422</v>
      </c>
      <c r="E500" s="52">
        <f>INDEX(emprunts!I:I,MATCH($A500,emprunts!$A:$A,0))</f>
        <v>20</v>
      </c>
      <c r="F500" s="18" t="str">
        <f>INDEX(emprunts!P:P,MATCH($A500,emprunts!$A:$A,0))</f>
        <v>Courbes</v>
      </c>
      <c r="G500" s="126" t="str">
        <f>IF(LEFT(A500,3)="vx_","vx",INDEX(Categorie,MATCH($A500,emprunts!$A$2:$A$149,0)))</f>
        <v>Struct</v>
      </c>
      <c r="H500">
        <v>2009</v>
      </c>
      <c r="I500">
        <f t="shared" si="62"/>
        <v>1</v>
      </c>
      <c r="N500" s="14"/>
      <c r="O500" s="14">
        <v>1862986</v>
      </c>
      <c r="Q500" s="85">
        <v>62226.720000000001</v>
      </c>
      <c r="R500" s="85">
        <v>69903.76999999999</v>
      </c>
      <c r="S500" s="14"/>
      <c r="T500" s="85">
        <v>0</v>
      </c>
      <c r="U500" s="14">
        <f>SUM(Q500:S500)</f>
        <v>132130.49</v>
      </c>
      <c r="V500" s="14">
        <f t="shared" si="66"/>
        <v>0</v>
      </c>
      <c r="X500" s="85">
        <f t="shared" si="63"/>
        <v>0</v>
      </c>
      <c r="Y500" s="21">
        <f t="shared" si="64"/>
        <v>3.2876561988999194E-2</v>
      </c>
      <c r="Z500" t="s">
        <v>674</v>
      </c>
      <c r="AA500" s="55">
        <f t="shared" si="60"/>
        <v>62226.720000000001</v>
      </c>
      <c r="AB500" s="55">
        <f t="shared" si="61"/>
        <v>52.770000000018626</v>
      </c>
      <c r="AC500" s="55">
        <f t="shared" si="65"/>
        <v>1892738.0551780823</v>
      </c>
    </row>
    <row r="501" spans="1:29">
      <c r="A501" t="s">
        <v>246</v>
      </c>
      <c r="B501" s="16" t="str">
        <f>INDEX(emprunts!C:C,MATCH($A501,emprunts!A:A,0))</f>
        <v>Dexia CL</v>
      </c>
      <c r="C501" s="18">
        <f>INDEX(emprunts!M:M,MATCH($A501,emprunts!$A:$A,0))</f>
        <v>39350</v>
      </c>
      <c r="D501" s="18">
        <f>IF(INDEX(emprunts!O:O,MATCH($A501,emprunts!$A:$A,0))="",INDEX(emprunts!N:N,MATCH($A501,emprunts!$A:$A,0)),MIN(INDEX(emprunts!N:N,MATCH($A501,emprunts!$A:$A,0)),INDEX(emprunts!O:O,MATCH($A501,emprunts!$A:$A,0))))</f>
        <v>40179</v>
      </c>
      <c r="E501" s="52">
        <f>INDEX(emprunts!I:I,MATCH($A501,emprunts!$A:$A,0))</f>
        <v>25.42</v>
      </c>
      <c r="F501" s="18" t="str">
        <f>INDEX(emprunts!P:P,MATCH($A501,emprunts!$A:$A,0))</f>
        <v>Barrière avec multiplicateur</v>
      </c>
      <c r="G501" s="126" t="str">
        <f>IF(LEFT(A501,3)="vx_","vx",INDEX(Categorie,MATCH($A501,emprunts!$A$2:$A$149,0)))</f>
        <v>Struct</v>
      </c>
      <c r="H501">
        <v>2009</v>
      </c>
      <c r="I501">
        <f t="shared" si="62"/>
        <v>1</v>
      </c>
      <c r="N501" s="14">
        <v>8721943.1600000001</v>
      </c>
      <c r="O501" s="14">
        <v>10244420</v>
      </c>
      <c r="Q501" s="14">
        <v>297712.62</v>
      </c>
      <c r="R501" s="14">
        <v>477522.91</v>
      </c>
      <c r="S501" s="14"/>
      <c r="T501" s="14">
        <v>0</v>
      </c>
      <c r="U501" s="14">
        <f>SUM(Q501:S501)</f>
        <v>775235.53</v>
      </c>
      <c r="V501" s="14">
        <f t="shared" si="66"/>
        <v>0</v>
      </c>
      <c r="X501" s="85">
        <f t="shared" si="63"/>
        <v>0</v>
      </c>
      <c r="Y501" s="21">
        <f t="shared" si="64"/>
        <v>2.8477090957039701E-2</v>
      </c>
      <c r="AA501" s="55">
        <f t="shared" si="60"/>
        <v>297712.62</v>
      </c>
      <c r="AB501" s="55">
        <f t="shared" si="61"/>
        <v>-8.9999999850988388E-2</v>
      </c>
      <c r="AC501" s="55">
        <f t="shared" si="65"/>
        <v>10454460.409917809</v>
      </c>
    </row>
    <row r="502" spans="1:29">
      <c r="A502" t="s">
        <v>248</v>
      </c>
      <c r="B502" s="16" t="str">
        <f>INDEX(emprunts!C:C,MATCH($A502,emprunts!A:A,0))</f>
        <v>Dexia CL</v>
      </c>
      <c r="C502" s="18">
        <f>INDEX(emprunts!M:M,MATCH($A502,emprunts!$A:$A,0))</f>
        <v>39539</v>
      </c>
      <c r="D502" s="18">
        <f>IF(INDEX(emprunts!O:O,MATCH($A502,emprunts!$A:$A,0))="",INDEX(emprunts!N:N,MATCH($A502,emprunts!$A:$A,0)),MIN(INDEX(emprunts!N:N,MATCH($A502,emprunts!$A:$A,0)),INDEX(emprunts!O:O,MATCH($A502,emprunts!$A:$A,0))))</f>
        <v>39783</v>
      </c>
      <c r="E502" s="52">
        <f>INDEX(emprunts!I:I,MATCH($A502,emprunts!$A:$A,0))</f>
        <v>26.42</v>
      </c>
      <c r="F502" s="18" t="str">
        <f>INDEX(emprunts!P:P,MATCH($A502,emprunts!$A:$A,0))</f>
        <v>Change</v>
      </c>
      <c r="G502" s="126" t="str">
        <f>IF(LEFT(A502,3)="vx_","vx",INDEX(Categorie,MATCH($A502,emprunts!$A$2:$A$149,0)))</f>
        <v>Struct</v>
      </c>
      <c r="H502">
        <v>2009</v>
      </c>
      <c r="I502">
        <f t="shared" si="62"/>
        <v>1</v>
      </c>
      <c r="N502" s="14"/>
      <c r="O502" s="14"/>
      <c r="Q502" s="14"/>
      <c r="R502" s="14"/>
      <c r="S502" s="14"/>
      <c r="T502" s="14"/>
      <c r="U502" s="14"/>
      <c r="V502" s="14" t="str">
        <f t="shared" si="66"/>
        <v/>
      </c>
      <c r="X502" s="85">
        <f t="shared" si="63"/>
        <v>0</v>
      </c>
      <c r="Y502" s="21" t="str">
        <f t="shared" si="64"/>
        <v/>
      </c>
      <c r="AA502" s="55">
        <f t="shared" si="60"/>
        <v>0</v>
      </c>
      <c r="AB502" s="55">
        <f t="shared" si="61"/>
        <v>0</v>
      </c>
      <c r="AC502" s="55">
        <f t="shared" si="65"/>
        <v>0</v>
      </c>
    </row>
    <row r="503" spans="1:29">
      <c r="A503" t="s">
        <v>250</v>
      </c>
      <c r="B503" s="16" t="str">
        <f>INDEX(emprunts!C:C,MATCH($A503,emprunts!A:A,0))</f>
        <v>Caisse d'Épargne</v>
      </c>
      <c r="C503" s="18">
        <f>INDEX(emprunts!M:M,MATCH($A503,emprunts!$A:$A,0))</f>
        <v>39447</v>
      </c>
      <c r="D503" s="18">
        <f>IF(INDEX(emprunts!O:O,MATCH($A503,emprunts!$A:$A,0))="",INDEX(emprunts!N:N,MATCH($A503,emprunts!$A:$A,0)),MIN(INDEX(emprunts!N:N,MATCH($A503,emprunts!$A:$A,0)),INDEX(emprunts!O:O,MATCH($A503,emprunts!$A:$A,0))))</f>
        <v>41330</v>
      </c>
      <c r="E503" s="52">
        <f>INDEX(emprunts!I:I,MATCH($A503,emprunts!$A:$A,0))</f>
        <v>20</v>
      </c>
      <c r="F503" s="18" t="str">
        <f>INDEX(emprunts!P:P,MATCH($A503,emprunts!$A:$A,0))</f>
        <v>Courbes</v>
      </c>
      <c r="G503" s="126" t="str">
        <f>IF(LEFT(A503,3)="vx_","vx",INDEX(Categorie,MATCH($A503,emprunts!$A$2:$A$149,0)))</f>
        <v>Struct</v>
      </c>
      <c r="H503">
        <v>2009</v>
      </c>
      <c r="I503">
        <f t="shared" si="62"/>
        <v>1</v>
      </c>
      <c r="N503" s="14">
        <v>5000000</v>
      </c>
      <c r="O503" s="14">
        <v>4823195</v>
      </c>
      <c r="P503" s="4">
        <v>2.2321000000000001E-2</v>
      </c>
      <c r="Q503" s="14">
        <v>111833.33</v>
      </c>
      <c r="R503" s="14">
        <v>176805.38</v>
      </c>
      <c r="S503" s="14"/>
      <c r="T503" s="14">
        <v>0</v>
      </c>
      <c r="U503" s="14">
        <f>SUM(Q503:S503)</f>
        <v>288638.71000000002</v>
      </c>
      <c r="V503" s="14">
        <f t="shared" si="66"/>
        <v>0</v>
      </c>
      <c r="X503" s="85">
        <f t="shared" si="63"/>
        <v>0</v>
      </c>
      <c r="Y503" s="21">
        <f t="shared" si="64"/>
        <v>2.2831789470744886E-2</v>
      </c>
      <c r="AA503" s="55">
        <f t="shared" si="60"/>
        <v>111833.33</v>
      </c>
      <c r="AB503" s="55">
        <f t="shared" si="61"/>
        <v>0.37999999988824129</v>
      </c>
      <c r="AC503" s="55">
        <f t="shared" si="65"/>
        <v>4898141.2579726037</v>
      </c>
    </row>
    <row r="504" spans="1:29">
      <c r="A504" t="s">
        <v>251</v>
      </c>
      <c r="B504" s="16" t="str">
        <f>INDEX(emprunts!C:C,MATCH($A504,emprunts!A:A,0))</f>
        <v>Dexia CL</v>
      </c>
      <c r="C504" s="18">
        <f>INDEX(emprunts!M:M,MATCH($A504,emprunts!$A:$A,0))</f>
        <v>40148</v>
      </c>
      <c r="D504" s="18">
        <f>IF(INDEX(emprunts!O:O,MATCH($A504,emprunts!$A:$A,0))="",INDEX(emprunts!N:N,MATCH($A504,emprunts!$A:$A,0)),MIN(INDEX(emprunts!N:N,MATCH($A504,emprunts!$A:$A,0)),INDEX(emprunts!O:O,MATCH($A504,emprunts!$A:$A,0))))</f>
        <v>41030</v>
      </c>
      <c r="E504" s="52">
        <f>INDEX(emprunts!I:I,MATCH($A504,emprunts!$A:$A,0))</f>
        <v>20.83</v>
      </c>
      <c r="F504" s="18" t="str">
        <f>INDEX(emprunts!P:P,MATCH($A504,emprunts!$A:$A,0))</f>
        <v>Change</v>
      </c>
      <c r="G504" s="126" t="str">
        <f>IF(LEFT(A504,3)="vx_","vx",INDEX(Categorie,MATCH($A504,emprunts!$A$2:$A$149,0)))</f>
        <v>Struct</v>
      </c>
      <c r="H504">
        <v>2009</v>
      </c>
      <c r="I504">
        <f t="shared" si="62"/>
        <v>1</v>
      </c>
      <c r="N504" s="14">
        <v>15538681</v>
      </c>
      <c r="O504" s="14">
        <v>15538681</v>
      </c>
      <c r="P504" s="4">
        <v>2.7394000000000002E-2</v>
      </c>
      <c r="Q504" s="14">
        <v>2479.61</v>
      </c>
      <c r="R504" s="14">
        <v>0</v>
      </c>
      <c r="S504" s="14"/>
      <c r="T504" s="14">
        <v>284357.86</v>
      </c>
      <c r="U504" s="14">
        <f>SUM(Q504:S504)</f>
        <v>2479.61</v>
      </c>
      <c r="V504" s="14">
        <f t="shared" si="66"/>
        <v>0</v>
      </c>
      <c r="X504" s="85">
        <f t="shared" si="63"/>
        <v>0</v>
      </c>
      <c r="Y504" s="21">
        <f t="shared" si="64"/>
        <v>0.22459151359114715</v>
      </c>
      <c r="AA504" s="55">
        <f t="shared" si="60"/>
        <v>286837.46999999997</v>
      </c>
      <c r="AB504" s="55" t="str">
        <f t="shared" si="61"/>
        <v/>
      </c>
      <c r="AC504" s="55">
        <f t="shared" si="65"/>
        <v>1277151.8630136985</v>
      </c>
    </row>
    <row r="505" spans="1:29">
      <c r="A505" t="s">
        <v>253</v>
      </c>
      <c r="B505" s="16" t="str">
        <f>INDEX(emprunts!C:C,MATCH($A505,emprunts!A:A,0))</f>
        <v>Dexia CL</v>
      </c>
      <c r="C505" s="18">
        <f>INDEX(emprunts!M:M,MATCH($A505,emprunts!$A:$A,0))</f>
        <v>40176</v>
      </c>
      <c r="D505" s="18">
        <f>IF(INDEX(emprunts!O:O,MATCH($A505,emprunts!$A:$A,0))="",INDEX(emprunts!N:N,MATCH($A505,emprunts!$A:$A,0)),MIN(INDEX(emprunts!N:N,MATCH($A505,emprunts!$A:$A,0)),INDEX(emprunts!O:O,MATCH($A505,emprunts!$A:$A,0))))</f>
        <v>40299</v>
      </c>
      <c r="E505" s="52">
        <f>INDEX(emprunts!I:I,MATCH($A505,emprunts!$A:$A,0))</f>
        <v>20.83</v>
      </c>
      <c r="F505" s="18" t="str">
        <f>INDEX(emprunts!P:P,MATCH($A505,emprunts!$A:$A,0))</f>
        <v>Courbes</v>
      </c>
      <c r="G505" s="126" t="str">
        <f>IF(LEFT(A505,3)="vx_","vx",INDEX(Categorie,MATCH($A505,emprunts!$A$2:$A$149,0)))</f>
        <v>Struct</v>
      </c>
      <c r="H505">
        <v>2009</v>
      </c>
      <c r="I505">
        <f t="shared" si="62"/>
        <v>1</v>
      </c>
      <c r="N505" s="14">
        <v>15538681</v>
      </c>
      <c r="O505" s="14">
        <v>15538681</v>
      </c>
      <c r="P505" s="4">
        <v>2.7394000000000002E-2</v>
      </c>
      <c r="Q505" s="14">
        <v>2479.61</v>
      </c>
      <c r="R505" s="14">
        <v>0</v>
      </c>
      <c r="S505" s="14"/>
      <c r="T505" s="14">
        <v>284357.86</v>
      </c>
      <c r="U505" s="14">
        <f>SUM(Q505:S505)</f>
        <v>2479.61</v>
      </c>
      <c r="V505" s="14">
        <f t="shared" si="66"/>
        <v>0</v>
      </c>
      <c r="X505" s="85">
        <f t="shared" si="63"/>
        <v>0</v>
      </c>
      <c r="Y505" s="21">
        <f t="shared" si="64"/>
        <v>3.3688727038672068</v>
      </c>
      <c r="AA505" s="55">
        <f t="shared" si="60"/>
        <v>286837.46999999997</v>
      </c>
      <c r="AB505" s="55" t="str">
        <f t="shared" si="61"/>
        <v/>
      </c>
      <c r="AC505" s="55">
        <f t="shared" si="65"/>
        <v>85143.457534246583</v>
      </c>
    </row>
    <row r="506" spans="1:29">
      <c r="A506" t="s">
        <v>255</v>
      </c>
      <c r="B506" s="16" t="str">
        <f>INDEX(emprunts!C:C,MATCH($A506,emprunts!A:A,0))</f>
        <v>Dexia CL</v>
      </c>
      <c r="C506" s="18">
        <f>INDEX(emprunts!M:M,MATCH($A506,emprunts!$A:$A,0))</f>
        <v>39668</v>
      </c>
      <c r="D506" s="18">
        <f>IF(INDEX(emprunts!O:O,MATCH($A506,emprunts!$A:$A,0))="",INDEX(emprunts!N:N,MATCH($A506,emprunts!$A:$A,0)),MIN(INDEX(emprunts!N:N,MATCH($A506,emprunts!$A:$A,0)),INDEX(emprunts!O:O,MATCH($A506,emprunts!$A:$A,0))))</f>
        <v>40848</v>
      </c>
      <c r="E506" s="52">
        <f>INDEX(emprunts!I:I,MATCH($A506,emprunts!$A:$A,0))</f>
        <v>25.33</v>
      </c>
      <c r="F506" s="18" t="str">
        <f>INDEX(emprunts!P:P,MATCH($A506,emprunts!$A:$A,0))</f>
        <v>Change</v>
      </c>
      <c r="G506" s="126" t="str">
        <f>IF(LEFT(A506,3)="vx_","vx",INDEX(Categorie,MATCH($A506,emprunts!$A$2:$A$149,0)))</f>
        <v>Struct</v>
      </c>
      <c r="H506">
        <v>2009</v>
      </c>
      <c r="I506">
        <f t="shared" si="62"/>
        <v>1</v>
      </c>
      <c r="N506" s="14">
        <v>11085434.300000001</v>
      </c>
      <c r="O506" s="14">
        <v>10242617</v>
      </c>
      <c r="P506" s="4">
        <v>1.9175999999999999E-2</v>
      </c>
      <c r="Q506" s="14">
        <v>212424.63</v>
      </c>
      <c r="R506" s="14">
        <v>842817.7</v>
      </c>
      <c r="S506" s="14"/>
      <c r="T506" s="14">
        <v>32264.240000000002</v>
      </c>
      <c r="U506" s="14">
        <f>SUM(Q506:S506)</f>
        <v>1055242.33</v>
      </c>
      <c r="V506" s="14">
        <f t="shared" si="66"/>
        <v>0</v>
      </c>
      <c r="X506" s="85">
        <f t="shared" si="63"/>
        <v>0</v>
      </c>
      <c r="Y506" s="21">
        <f t="shared" si="64"/>
        <v>1.9724824703231381E-2</v>
      </c>
      <c r="AA506" s="55">
        <f t="shared" si="60"/>
        <v>209769.75</v>
      </c>
      <c r="AB506" s="55">
        <f t="shared" si="61"/>
        <v>0.69999999925494194</v>
      </c>
      <c r="AC506" s="55">
        <f t="shared" si="65"/>
        <v>10634809.340821918</v>
      </c>
    </row>
    <row r="507" spans="1:29">
      <c r="A507" t="s">
        <v>256</v>
      </c>
      <c r="B507" s="16" t="str">
        <f>INDEX(emprunts!C:C,MATCH($A507,emprunts!A:A,0))</f>
        <v>Dexia CL</v>
      </c>
      <c r="C507" s="18">
        <f>INDEX(emprunts!M:M,MATCH($A507,emprunts!$A:$A,0))</f>
        <v>39668</v>
      </c>
      <c r="D507" s="18">
        <f>IF(INDEX(emprunts!O:O,MATCH($A507,emprunts!$A:$A,0))="",INDEX(emprunts!N:N,MATCH($A507,emprunts!$A:$A,0)),MIN(INDEX(emprunts!N:N,MATCH($A507,emprunts!$A:$A,0)),INDEX(emprunts!O:O,MATCH($A507,emprunts!$A:$A,0))))</f>
        <v>41214</v>
      </c>
      <c r="E507" s="52">
        <f>INDEX(emprunts!I:I,MATCH($A507,emprunts!$A:$A,0))</f>
        <v>25.33</v>
      </c>
      <c r="F507" s="18" t="str">
        <f>INDEX(emprunts!P:P,MATCH($A507,emprunts!$A:$A,0))</f>
        <v>Change</v>
      </c>
      <c r="G507" s="126" t="str">
        <f>IF(LEFT(A507,3)="vx_","vx",INDEX(Categorie,MATCH($A507,emprunts!$A$2:$A$149,0)))</f>
        <v>Struct</v>
      </c>
      <c r="H507">
        <v>2009</v>
      </c>
      <c r="I507">
        <f t="shared" si="62"/>
        <v>1</v>
      </c>
      <c r="N507" s="14">
        <v>11085434.220000001</v>
      </c>
      <c r="O507" s="14">
        <v>10468589</v>
      </c>
      <c r="P507" s="4">
        <v>1.9074000000000001E-2</v>
      </c>
      <c r="Q507" s="14">
        <v>211300.69</v>
      </c>
      <c r="R507" s="14">
        <v>616845.09</v>
      </c>
      <c r="S507" s="14"/>
      <c r="T507" s="14">
        <v>32801.58</v>
      </c>
      <c r="U507" s="14">
        <f>SUM(Q507:S507)</f>
        <v>828145.78</v>
      </c>
      <c r="V507" s="14">
        <f t="shared" si="66"/>
        <v>0</v>
      </c>
      <c r="X507" s="85">
        <f t="shared" si="63"/>
        <v>0</v>
      </c>
      <c r="Y507" s="21">
        <f t="shared" si="64"/>
        <v>1.9480641334502172E-2</v>
      </c>
      <c r="AA507" s="55">
        <f t="shared" ref="AA507:AA570" si="67">T507+Q507+S507-SUMPRODUCT(($A$123:$A$1367=$A507)*($H$123:$H$1367=$H507-1),$T$123:$T$1367)</f>
        <v>209367.91000000003</v>
      </c>
      <c r="AB507" s="55">
        <f t="shared" ref="AB507:AB570" si="68">IF(YEAR(C507)=H507,"",O507+R507+X507-W507-SUMPRODUCT(($A$123:$A$1367=$A507)*($H$123:$H$1367=$H507-1),$O$123:$O$1367))</f>
        <v>8.9999999850988388E-2</v>
      </c>
      <c r="AC507" s="55">
        <f t="shared" si="65"/>
        <v>10747485.485972602</v>
      </c>
    </row>
    <row r="508" spans="1:29">
      <c r="A508" t="s">
        <v>257</v>
      </c>
      <c r="B508" s="16" t="str">
        <f>INDEX(emprunts!C:C,MATCH($A508,emprunts!A:A,0))</f>
        <v>Dexia CL</v>
      </c>
      <c r="C508" s="18">
        <f>INDEX(emprunts!M:M,MATCH($A508,emprunts!$A:$A,0))</f>
        <v>41214</v>
      </c>
      <c r="D508" s="18">
        <f>IF(INDEX(emprunts!O:O,MATCH($A508,emprunts!$A:$A,0))="",INDEX(emprunts!N:N,MATCH($A508,emprunts!$A:$A,0)),MIN(INDEX(emprunts!N:N,MATCH($A508,emprunts!$A:$A,0)),INDEX(emprunts!O:O,MATCH($A508,emprunts!$A:$A,0))))</f>
        <v>43040</v>
      </c>
      <c r="E508" s="52">
        <f>INDEX(emprunts!I:I,MATCH($A508,emprunts!$A:$A,0))</f>
        <v>25</v>
      </c>
      <c r="F508" s="18" t="str">
        <f>INDEX(emprunts!P:P,MATCH($A508,emprunts!$A:$A,0))</f>
        <v>Change</v>
      </c>
      <c r="G508" s="126" t="str">
        <f>IF(LEFT(A508,3)="vx_","vx",INDEX(Categorie,MATCH($A508,emprunts!$A$2:$A$149,0)))</f>
        <v>Struct</v>
      </c>
      <c r="H508">
        <v>2009</v>
      </c>
      <c r="I508">
        <f t="shared" si="62"/>
        <v>0</v>
      </c>
      <c r="N508" s="14"/>
      <c r="O508" s="14"/>
      <c r="Q508" s="14"/>
      <c r="R508" s="14"/>
      <c r="S508" s="14"/>
      <c r="T508" s="14"/>
      <c r="U508" s="14"/>
      <c r="V508" s="14" t="str">
        <f t="shared" si="66"/>
        <v/>
      </c>
      <c r="X508" s="85">
        <f t="shared" si="63"/>
        <v>0</v>
      </c>
      <c r="Y508" s="21" t="str">
        <f t="shared" si="64"/>
        <v/>
      </c>
      <c r="AA508" s="55">
        <f t="shared" si="67"/>
        <v>0</v>
      </c>
      <c r="AB508" s="55">
        <f t="shared" si="68"/>
        <v>0</v>
      </c>
      <c r="AC508" s="55">
        <f t="shared" si="65"/>
        <v>0</v>
      </c>
    </row>
    <row r="509" spans="1:29">
      <c r="A509" t="s">
        <v>261</v>
      </c>
      <c r="B509" s="16" t="str">
        <f>INDEX(emprunts!C:C,MATCH($A509,emprunts!A:A,0))</f>
        <v>Dexia CL</v>
      </c>
      <c r="C509" s="18">
        <f>INDEX(emprunts!M:M,MATCH($A509,emprunts!$A:$A,0))</f>
        <v>39783</v>
      </c>
      <c r="D509" s="18">
        <f>IF(INDEX(emprunts!O:O,MATCH($A509,emprunts!$A:$A,0))="",INDEX(emprunts!N:N,MATCH($A509,emprunts!$A:$A,0)),MIN(INDEX(emprunts!N:N,MATCH($A509,emprunts!$A:$A,0)),INDEX(emprunts!O:O,MATCH($A509,emprunts!$A:$A,0))))</f>
        <v>40513</v>
      </c>
      <c r="E509" s="52">
        <f>INDEX(emprunts!I:I,MATCH($A509,emprunts!$A:$A,0))</f>
        <v>17</v>
      </c>
      <c r="F509" s="18" t="str">
        <f>INDEX(emprunts!P:P,MATCH($A509,emprunts!$A:$A,0))</f>
        <v>Change</v>
      </c>
      <c r="G509" s="126" t="str">
        <f>IF(LEFT(A509,3)="vx_","vx",INDEX(Categorie,MATCH($A509,emprunts!$A$2:$A$149,0)))</f>
        <v>Struct</v>
      </c>
      <c r="H509">
        <v>2009</v>
      </c>
      <c r="I509">
        <f t="shared" si="62"/>
        <v>1</v>
      </c>
      <c r="N509" s="14">
        <v>11246513</v>
      </c>
      <c r="O509" s="14">
        <v>10811289</v>
      </c>
      <c r="P509" s="4">
        <v>5.1922999999999997E-2</v>
      </c>
      <c r="Q509" s="14">
        <v>340941.17</v>
      </c>
      <c r="R509" s="14">
        <v>435224</v>
      </c>
      <c r="S509" s="14"/>
      <c r="T509" s="14">
        <v>26938.13</v>
      </c>
      <c r="U509" s="14">
        <f>SUM(Q509:S509)</f>
        <v>776165.16999999993</v>
      </c>
      <c r="V509" s="14">
        <f t="shared" si="66"/>
        <v>0</v>
      </c>
      <c r="X509" s="85">
        <f t="shared" si="63"/>
        <v>0</v>
      </c>
      <c r="Y509" s="21">
        <f t="shared" si="64"/>
        <v>3.0899761668242137E-2</v>
      </c>
      <c r="AA509" s="55">
        <f t="shared" si="67"/>
        <v>339856.74</v>
      </c>
      <c r="AB509" s="55">
        <f t="shared" si="68"/>
        <v>0</v>
      </c>
      <c r="AC509" s="55">
        <f t="shared" si="65"/>
        <v>10998684.832876712</v>
      </c>
    </row>
    <row r="510" spans="1:29">
      <c r="A510" t="s">
        <v>263</v>
      </c>
      <c r="B510" s="16" t="str">
        <f>INDEX(emprunts!C:C,MATCH($A510,emprunts!A:A,0))</f>
        <v>Dexia CL</v>
      </c>
      <c r="C510" s="18">
        <f>INDEX(emprunts!M:M,MATCH($A510,emprunts!$A:$A,0))</f>
        <v>39783</v>
      </c>
      <c r="D510" s="18">
        <f>IF(INDEX(emprunts!O:O,MATCH($A510,emprunts!$A:$A,0))="",INDEX(emprunts!N:N,MATCH($A510,emprunts!$A:$A,0)),MIN(INDEX(emprunts!N:N,MATCH($A510,emprunts!$A:$A,0)),INDEX(emprunts!O:O,MATCH($A510,emprunts!$A:$A,0))))</f>
        <v>41244</v>
      </c>
      <c r="E510" s="52">
        <f>INDEX(emprunts!I:I,MATCH($A510,emprunts!$A:$A,0))</f>
        <v>25</v>
      </c>
      <c r="F510" s="18" t="str">
        <f>INDEX(emprunts!P:P,MATCH($A510,emprunts!$A:$A,0))</f>
        <v>Pente</v>
      </c>
      <c r="G510" s="126" t="str">
        <f>IF(LEFT(A510,3)="vx_","vx",INDEX(Categorie,MATCH($A510,emprunts!$A$2:$A$149,0)))</f>
        <v>Struct</v>
      </c>
      <c r="H510">
        <v>2009</v>
      </c>
      <c r="I510">
        <f t="shared" si="62"/>
        <v>1</v>
      </c>
      <c r="N510" s="14">
        <v>9000000</v>
      </c>
      <c r="O510" s="14">
        <v>8463547</v>
      </c>
      <c r="P510" s="4">
        <v>2.1814E-2</v>
      </c>
      <c r="Q510" s="14">
        <v>198187.5</v>
      </c>
      <c r="R510" s="14">
        <v>536453.43999999994</v>
      </c>
      <c r="S510" s="14"/>
      <c r="T510" s="14">
        <v>15163.85</v>
      </c>
      <c r="U510" s="14">
        <f>SUM(Q510:S510)</f>
        <v>734640.94</v>
      </c>
      <c r="V510" s="14">
        <f t="shared" si="66"/>
        <v>0</v>
      </c>
      <c r="X510" s="85">
        <f t="shared" si="63"/>
        <v>0</v>
      </c>
      <c r="Y510" s="21">
        <f t="shared" si="64"/>
        <v>2.2649256264953704E-2</v>
      </c>
      <c r="AA510" s="55">
        <f t="shared" si="67"/>
        <v>197226.35</v>
      </c>
      <c r="AB510" s="55">
        <f t="shared" si="68"/>
        <v>0.43999999947845936</v>
      </c>
      <c r="AC510" s="55">
        <f t="shared" si="65"/>
        <v>8707851.0522739738</v>
      </c>
    </row>
    <row r="511" spans="1:29">
      <c r="A511" t="s">
        <v>265</v>
      </c>
      <c r="B511" s="16" t="str">
        <f>INDEX(emprunts!C:C,MATCH($A511,emprunts!A:A,0))</f>
        <v>Dexia CL</v>
      </c>
      <c r="C511" s="18">
        <f>INDEX(emprunts!M:M,MATCH($A511,emprunts!$A:$A,0))</f>
        <v>39899</v>
      </c>
      <c r="D511" s="18">
        <f>IF(INDEX(emprunts!O:O,MATCH($A511,emprunts!$A:$A,0))="",INDEX(emprunts!N:N,MATCH($A511,emprunts!$A:$A,0)),MIN(INDEX(emprunts!N:N,MATCH($A511,emprunts!$A:$A,0)),INDEX(emprunts!O:O,MATCH($A511,emprunts!$A:$A,0))))</f>
        <v>47209</v>
      </c>
      <c r="E511" s="52">
        <f>INDEX(emprunts!I:I,MATCH($A511,emprunts!$A:$A,0))</f>
        <v>20</v>
      </c>
      <c r="F511" s="18" t="str">
        <f>INDEX(emprunts!P:P,MATCH($A511,emprunts!$A:$A,0))</f>
        <v>Fixe</v>
      </c>
      <c r="G511" s="126" t="str">
        <f>IF(LEFT(A511,3)="vx_","vx",INDEX(Categorie,MATCH($A511,emprunts!$A$2:$A$149,0)))</f>
        <v>Non_st</v>
      </c>
      <c r="H511">
        <v>2009</v>
      </c>
      <c r="I511">
        <f t="shared" si="62"/>
        <v>1</v>
      </c>
      <c r="N511" s="14">
        <v>6000000</v>
      </c>
      <c r="O511" s="14">
        <v>5905988</v>
      </c>
      <c r="P511" s="4">
        <v>4.5453E-2</v>
      </c>
      <c r="Q511" s="14">
        <v>139838.16</v>
      </c>
      <c r="R511" s="14">
        <v>94011.79</v>
      </c>
      <c r="S511" s="14"/>
      <c r="T511" s="14">
        <v>66882.03</v>
      </c>
      <c r="U511" s="14">
        <f>SUM(Q511:S511)</f>
        <v>233849.95</v>
      </c>
      <c r="V511" s="14">
        <f t="shared" si="66"/>
        <v>0</v>
      </c>
      <c r="X511" s="85">
        <f t="shared" si="63"/>
        <v>0</v>
      </c>
      <c r="Y511" s="21">
        <f t="shared" si="64"/>
        <v>4.5429307791266249E-2</v>
      </c>
      <c r="AA511" s="55">
        <f t="shared" si="67"/>
        <v>206720.19</v>
      </c>
      <c r="AB511" s="55" t="str">
        <f t="shared" si="68"/>
        <v/>
      </c>
      <c r="AC511" s="55">
        <f t="shared" si="65"/>
        <v>4550370.6759041091</v>
      </c>
    </row>
    <row r="512" spans="1:29">
      <c r="A512" t="s">
        <v>267</v>
      </c>
      <c r="B512" s="16" t="str">
        <f>INDEX(emprunts!C:C,MATCH($A512,emprunts!A:A,0))</f>
        <v>Société Générale</v>
      </c>
      <c r="C512" s="18">
        <f>INDEX(emprunts!M:M,MATCH($A512,emprunts!$A:$A,0))</f>
        <v>39904</v>
      </c>
      <c r="D512" s="18">
        <f>IF(INDEX(emprunts!O:O,MATCH($A512,emprunts!$A:$A,0))="",INDEX(emprunts!N:N,MATCH($A512,emprunts!$A:$A,0)),MIN(INDEX(emprunts!N:N,MATCH($A512,emprunts!$A:$A,0)),INDEX(emprunts!O:O,MATCH($A512,emprunts!$A:$A,0))))</f>
        <v>40452</v>
      </c>
      <c r="E512" s="52">
        <f>INDEX(emprunts!I:I,MATCH($A512,emprunts!$A:$A,0))</f>
        <v>18</v>
      </c>
      <c r="F512" s="18" t="str">
        <f>INDEX(emprunts!P:P,MATCH($A512,emprunts!$A:$A,0))</f>
        <v>Change</v>
      </c>
      <c r="G512" s="126" t="str">
        <f>IF(LEFT(A512,3)="vx_","vx",INDEX(Categorie,MATCH($A512,emprunts!$A$2:$A$149,0)))</f>
        <v>Struct</v>
      </c>
      <c r="H512">
        <v>2009</v>
      </c>
      <c r="I512">
        <f t="shared" si="62"/>
        <v>1</v>
      </c>
      <c r="N512" s="14">
        <v>4000000</v>
      </c>
      <c r="O512" s="14">
        <v>3869020.1999999993</v>
      </c>
      <c r="Q512" s="14">
        <v>136983.74500000005</v>
      </c>
      <c r="R512" s="14">
        <v>130842.48999999999</v>
      </c>
      <c r="S512" s="14"/>
      <c r="T512" s="14"/>
      <c r="U512" s="14">
        <f>SUM(Q512:S512)</f>
        <v>267826.23500000004</v>
      </c>
      <c r="V512" s="14">
        <f t="shared" si="66"/>
        <v>0</v>
      </c>
      <c r="X512" s="85">
        <f t="shared" si="63"/>
        <v>0</v>
      </c>
      <c r="Y512" s="21">
        <f t="shared" si="64"/>
        <v>4.6379733690916816E-2</v>
      </c>
      <c r="Z512" t="s">
        <v>696</v>
      </c>
      <c r="AA512" s="55">
        <f t="shared" si="67"/>
        <v>136983.74500000005</v>
      </c>
      <c r="AB512" s="55" t="str">
        <f t="shared" si="68"/>
        <v/>
      </c>
      <c r="AC512" s="55">
        <f t="shared" si="65"/>
        <v>2953525.9066575337</v>
      </c>
    </row>
    <row r="513" spans="1:29">
      <c r="A513" t="s">
        <v>269</v>
      </c>
      <c r="B513" s="16" t="str">
        <f>INDEX(emprunts!C:C,MATCH($A513,emprunts!A:A,0))</f>
        <v>Dexia CL</v>
      </c>
      <c r="C513" s="18">
        <f>INDEX(emprunts!M:M,MATCH($A513,emprunts!$A:$A,0))</f>
        <v>40087</v>
      </c>
      <c r="D513" s="18">
        <f>IF(INDEX(emprunts!O:O,MATCH($A513,emprunts!$A:$A,0))="",INDEX(emprunts!N:N,MATCH($A513,emprunts!$A:$A,0)),MIN(INDEX(emprunts!N:N,MATCH($A513,emprunts!$A:$A,0)),INDEX(emprunts!O:O,MATCH($A513,emprunts!$A:$A,0))))</f>
        <v>40452</v>
      </c>
      <c r="E513" s="52">
        <f>INDEX(emprunts!I:I,MATCH($A513,emprunts!$A:$A,0))</f>
        <v>16</v>
      </c>
      <c r="F513" s="18" t="str">
        <f>INDEX(emprunts!P:P,MATCH($A513,emprunts!$A:$A,0))</f>
        <v>Change</v>
      </c>
      <c r="G513" s="126" t="str">
        <f>IF(LEFT(A513,3)="vx_","vx",INDEX(Categorie,MATCH($A513,emprunts!$A$2:$A$149,0)))</f>
        <v>Struct</v>
      </c>
      <c r="H513">
        <v>2009</v>
      </c>
      <c r="I513">
        <f t="shared" ref="I513:I540" si="69">1*(C513&lt;DATE(H513,12,31))</f>
        <v>1</v>
      </c>
      <c r="N513" s="14">
        <v>10811289</v>
      </c>
      <c r="O513" s="14">
        <v>10811289</v>
      </c>
      <c r="Q513" s="14">
        <v>0</v>
      </c>
      <c r="R513" s="14">
        <v>0</v>
      </c>
      <c r="S513" s="14"/>
      <c r="T513" s="14">
        <v>0</v>
      </c>
      <c r="U513" s="14">
        <f t="shared" ref="U513:U514" si="70">SUM(Q513:S513)</f>
        <v>0</v>
      </c>
      <c r="V513" s="14">
        <f t="shared" si="66"/>
        <v>0</v>
      </c>
      <c r="X513" s="85">
        <f t="shared" ref="X513:X540" si="71">SUMPRODUCT((De=$A513)*(année_refi=$H513),Montant_transfere)</f>
        <v>0</v>
      </c>
      <c r="Y513" s="21" t="str">
        <f t="shared" ref="Y513:Y546" si="72">IF(AND(AA513&gt;0,YEAR(C513)&lt;=H513),AA513/AC513,"")</f>
        <v/>
      </c>
      <c r="AA513" s="55">
        <f t="shared" si="67"/>
        <v>0</v>
      </c>
      <c r="AB513" s="55" t="str">
        <f t="shared" si="68"/>
        <v/>
      </c>
      <c r="AC513" s="55">
        <f t="shared" si="65"/>
        <v>2695417.2575342464</v>
      </c>
    </row>
    <row r="514" spans="1:29">
      <c r="A514" t="s">
        <v>270</v>
      </c>
      <c r="B514" s="16" t="str">
        <f>INDEX(emprunts!C:C,MATCH($A514,emprunts!A:A,0))</f>
        <v>Dexia CL</v>
      </c>
      <c r="C514" s="18">
        <f>INDEX(emprunts!M:M,MATCH($A514,emprunts!$A:$A,0))</f>
        <v>40118</v>
      </c>
      <c r="D514" s="18">
        <f>IF(INDEX(emprunts!O:O,MATCH($A514,emprunts!$A:$A,0))="",INDEX(emprunts!N:N,MATCH($A514,emprunts!$A:$A,0)),MIN(INDEX(emprunts!N:N,MATCH($A514,emprunts!$A:$A,0)),INDEX(emprunts!O:O,MATCH($A514,emprunts!$A:$A,0))))</f>
        <v>43040</v>
      </c>
      <c r="E514" s="52">
        <f>INDEX(emprunts!I:I,MATCH($A514,emprunts!$A:$A,0))</f>
        <v>23</v>
      </c>
      <c r="F514" s="18" t="str">
        <f>INDEX(emprunts!P:P,MATCH($A514,emprunts!$A:$A,0))</f>
        <v>Pente</v>
      </c>
      <c r="G514" s="126" t="str">
        <f>IF(LEFT(A514,3)="vx_","vx",INDEX(Categorie,MATCH($A514,emprunts!$A$2:$A$149,0)))</f>
        <v>Struct</v>
      </c>
      <c r="H514">
        <v>2009</v>
      </c>
      <c r="I514">
        <f t="shared" si="69"/>
        <v>1</v>
      </c>
      <c r="N514" s="14">
        <v>12886346.74</v>
      </c>
      <c r="O514" s="14">
        <v>12886347</v>
      </c>
      <c r="Q514" s="14">
        <v>0</v>
      </c>
      <c r="R514" s="14">
        <v>0</v>
      </c>
      <c r="S514" s="14"/>
      <c r="T514" s="14">
        <v>0</v>
      </c>
      <c r="U514" s="14">
        <f t="shared" si="70"/>
        <v>0</v>
      </c>
      <c r="V514" s="14">
        <f t="shared" si="66"/>
        <v>0</v>
      </c>
      <c r="X514" s="85">
        <f t="shared" si="71"/>
        <v>0</v>
      </c>
      <c r="Y514" s="21" t="str">
        <f t="shared" si="72"/>
        <v/>
      </c>
      <c r="AA514" s="55">
        <f t="shared" si="67"/>
        <v>0</v>
      </c>
      <c r="AB514" s="55" t="str">
        <f t="shared" si="68"/>
        <v/>
      </c>
      <c r="AC514" s="55">
        <f t="shared" ref="AC514:AC541" si="73">MAX(0,(C514-DATE(H514,1,1))/365)*0+MAX(0,MIN(1,(MIN(DATE(H514,12,31),D514)-MAX(DATE(H514,1,1),C514))/365))*(O514+X514+R514/2)</f>
        <v>2118303.6164383562</v>
      </c>
    </row>
    <row r="515" spans="1:29">
      <c r="A515" t="s">
        <v>272</v>
      </c>
      <c r="B515" s="16" t="str">
        <f>INDEX(emprunts!C:C,MATCH($A515,emprunts!A:A,0))</f>
        <v>Dexia CL</v>
      </c>
      <c r="C515" s="18">
        <f>INDEX(emprunts!M:M,MATCH($A515,emprunts!$A:$A,0))</f>
        <v>40133</v>
      </c>
      <c r="D515" s="18">
        <f>IF(INDEX(emprunts!O:O,MATCH($A515,emprunts!$A:$A,0))="",INDEX(emprunts!N:N,MATCH($A515,emprunts!$A:$A,0)),MIN(INDEX(emprunts!N:N,MATCH($A515,emprunts!$A:$A,0)),INDEX(emprunts!O:O,MATCH($A515,emprunts!$A:$A,0))))</f>
        <v>40878</v>
      </c>
      <c r="E515" s="52">
        <f>INDEX(emprunts!I:I,MATCH($A515,emprunts!$A:$A,0))</f>
        <v>25</v>
      </c>
      <c r="F515" s="18" t="str">
        <f>INDEX(emprunts!P:P,MATCH($A515,emprunts!$A:$A,0))</f>
        <v>Variable</v>
      </c>
      <c r="G515" s="126" t="str">
        <f>IF(LEFT(A515,3)="vx_","vx",INDEX(Categorie,MATCH($A515,emprunts!$A$2:$A$149,0)))</f>
        <v>Non_st</v>
      </c>
      <c r="H515">
        <v>2009</v>
      </c>
      <c r="I515">
        <f t="shared" si="69"/>
        <v>1</v>
      </c>
      <c r="N515" s="14"/>
      <c r="O515" s="14">
        <v>3000000</v>
      </c>
      <c r="P515" s="4">
        <v>1.3291000000000001E-2</v>
      </c>
      <c r="Q515" s="14"/>
      <c r="R515" s="14"/>
      <c r="S515" s="14">
        <v>1431.83</v>
      </c>
      <c r="T515" s="14"/>
      <c r="U515" s="14">
        <f t="shared" ref="U515" si="74">SUM(Q515:S515)</f>
        <v>1431.83</v>
      </c>
      <c r="V515" s="14">
        <f t="shared" ref="V515" si="75">IF(U515="","",U515-SUM(Q515:S515))</f>
        <v>0</v>
      </c>
      <c r="X515" s="85">
        <f t="shared" si="71"/>
        <v>0</v>
      </c>
      <c r="Y515" s="21">
        <f t="shared" ref="Y515" si="76">IF(AND(AA515&gt;0,YEAR(C515)&lt;=H515),AA515/AC515,"")</f>
        <v>3.8712440740740744E-3</v>
      </c>
      <c r="Z515" t="s">
        <v>641</v>
      </c>
      <c r="AA515" s="55">
        <f t="shared" si="67"/>
        <v>1431.83</v>
      </c>
      <c r="AB515" s="55" t="str">
        <f t="shared" si="68"/>
        <v/>
      </c>
      <c r="AC515" s="55">
        <f t="shared" si="73"/>
        <v>369863.01369863009</v>
      </c>
    </row>
    <row r="516" spans="1:29">
      <c r="A516" s="1" t="s">
        <v>479</v>
      </c>
      <c r="B516" s="16" t="str">
        <f>INDEX(emprunts!C:C,MATCH($A516,emprunts!A:A,0))</f>
        <v>Caisse d'Épargne</v>
      </c>
      <c r="C516" s="18">
        <f>INDEX(emprunts!M:M,MATCH($A516,emprunts!$A:$A,0))</f>
        <v>39050</v>
      </c>
      <c r="D516" s="18">
        <f>IF(INDEX(emprunts!O:O,MATCH($A516,emprunts!$A:$A,0))="",INDEX(emprunts!N:N,MATCH($A516,emprunts!$A:$A,0)),MIN(INDEX(emprunts!N:N,MATCH($A516,emprunts!$A:$A,0)),INDEX(emprunts!O:O,MATCH($A516,emprunts!$A:$A,0))))</f>
        <v>40142</v>
      </c>
      <c r="E516" s="52">
        <f>INDEX(emprunts!I:I,MATCH($A516,emprunts!$A:$A,0))</f>
        <v>20</v>
      </c>
      <c r="F516" s="18" t="str">
        <f>INDEX(emprunts!P:P,MATCH($A516,emprunts!$A:$A,0))</f>
        <v>Pente</v>
      </c>
      <c r="G516" s="126" t="str">
        <f>IF(LEFT(A516,3)="vx_","vx",INDEX(Categorie,MATCH($A516,emprunts!$A$2:$A$149,0)))</f>
        <v>Struct</v>
      </c>
      <c r="H516">
        <v>2009</v>
      </c>
      <c r="I516">
        <f t="shared" si="69"/>
        <v>1</v>
      </c>
      <c r="L516" s="5">
        <v>39411</v>
      </c>
      <c r="M516" s="5">
        <v>39411</v>
      </c>
      <c r="N516" s="14">
        <v>5000000</v>
      </c>
      <c r="O516" s="14">
        <v>0</v>
      </c>
      <c r="Q516" s="14">
        <v>157531.70000000001</v>
      </c>
      <c r="R516" s="14">
        <v>189309.4</v>
      </c>
      <c r="S516" s="14"/>
      <c r="T516" s="14">
        <v>14903.19</v>
      </c>
      <c r="U516" s="14">
        <v>346841.1</v>
      </c>
      <c r="V516" s="14">
        <f t="shared" si="66"/>
        <v>0</v>
      </c>
      <c r="X516" s="85">
        <f t="shared" si="71"/>
        <v>4449000</v>
      </c>
      <c r="Y516" s="21">
        <f t="shared" si="72"/>
        <v>3.8426407184893721E-2</v>
      </c>
      <c r="AA516" s="55">
        <f t="shared" si="67"/>
        <v>156897.52000000002</v>
      </c>
      <c r="AB516" s="55">
        <f t="shared" si="68"/>
        <v>287.40000000037253</v>
      </c>
      <c r="AC516" s="55">
        <f t="shared" si="73"/>
        <v>4083065.0454794522</v>
      </c>
    </row>
    <row r="517" spans="1:29" ht="30">
      <c r="A517" t="s">
        <v>274</v>
      </c>
      <c r="B517" s="16" t="str">
        <f>INDEX(emprunts!C:C,MATCH($A517,emprunts!A:A,0))</f>
        <v>Caisse d'Épargne</v>
      </c>
      <c r="C517" s="18">
        <f>INDEX(emprunts!M:M,MATCH($A517,emprunts!$A:$A,0))</f>
        <v>40142</v>
      </c>
      <c r="D517" s="18">
        <f>IF(INDEX(emprunts!O:O,MATCH($A517,emprunts!$A:$A,0))="",INDEX(emprunts!N:N,MATCH($A517,emprunts!$A:$A,0)),MIN(INDEX(emprunts!N:N,MATCH($A517,emprunts!$A:$A,0)),INDEX(emprunts!O:O,MATCH($A517,emprunts!$A:$A,0))))</f>
        <v>46351</v>
      </c>
      <c r="E517" s="52">
        <f>INDEX(emprunts!I:I,MATCH($A517,emprunts!$A:$A,0))</f>
        <v>17</v>
      </c>
      <c r="F517" s="18" t="str">
        <f>INDEX(emprunts!P:P,MATCH($A517,emprunts!$A:$A,0))</f>
        <v>Fixe</v>
      </c>
      <c r="G517" s="126" t="str">
        <f>IF(LEFT(A517,3)="vx_","vx",INDEX(Categorie,MATCH($A517,emprunts!$A$2:$A$149,0)))</f>
        <v>Restr_sec</v>
      </c>
      <c r="H517">
        <v>2009</v>
      </c>
      <c r="I517">
        <f t="shared" si="69"/>
        <v>1</v>
      </c>
      <c r="L517" s="5">
        <v>40507</v>
      </c>
      <c r="M517" s="5">
        <v>40507</v>
      </c>
      <c r="N517" s="14">
        <v>4448712</v>
      </c>
      <c r="O517" s="14">
        <v>4448712</v>
      </c>
      <c r="P517" s="4">
        <v>4.7684999999999998E-2</v>
      </c>
      <c r="Q517" s="14">
        <v>0</v>
      </c>
      <c r="R517" s="14">
        <v>0</v>
      </c>
      <c r="S517" s="14"/>
      <c r="T517" s="14">
        <v>0</v>
      </c>
      <c r="U517" s="14">
        <v>0</v>
      </c>
      <c r="V517" s="14">
        <f t="shared" si="66"/>
        <v>0</v>
      </c>
      <c r="X517" s="85">
        <f t="shared" si="71"/>
        <v>0</v>
      </c>
      <c r="Y517" s="21" t="str">
        <f t="shared" si="72"/>
        <v/>
      </c>
      <c r="AA517" s="55">
        <f t="shared" si="67"/>
        <v>0</v>
      </c>
      <c r="AB517" s="55" t="str">
        <f t="shared" si="68"/>
        <v/>
      </c>
      <c r="AC517" s="55">
        <f t="shared" si="73"/>
        <v>438777.07397260272</v>
      </c>
    </row>
    <row r="518" spans="1:29">
      <c r="A518" t="s">
        <v>276</v>
      </c>
      <c r="B518" s="16" t="str">
        <f>INDEX(emprunts!C:C,MATCH($A518,emprunts!A:A,0))</f>
        <v>Arkea</v>
      </c>
      <c r="C518" s="18">
        <f>INDEX(emprunts!M:M,MATCH($A518,emprunts!$A:$A,0))</f>
        <v>40168</v>
      </c>
      <c r="D518" s="18">
        <f>IF(INDEX(emprunts!O:O,MATCH($A518,emprunts!$A:$A,0))="",INDEX(emprunts!N:N,MATCH($A518,emprunts!$A:$A,0)),MIN(INDEX(emprunts!N:N,MATCH($A518,emprunts!$A:$A,0)),INDEX(emprunts!O:O,MATCH($A518,emprunts!$A:$A,0))))</f>
        <v>47786</v>
      </c>
      <c r="E518" s="52">
        <f>INDEX(emprunts!I:I,MATCH($A518,emprunts!$A:$A,0))</f>
        <v>20</v>
      </c>
      <c r="F518" s="18" t="str">
        <f>INDEX(emprunts!P:P,MATCH($A518,emprunts!$A:$A,0))</f>
        <v>Variable</v>
      </c>
      <c r="G518" s="126" t="str">
        <f>IF(LEFT(A518,3)="vx_","vx",INDEX(Categorie,MATCH($A518,emprunts!$A$2:$A$149,0)))</f>
        <v>Non_st</v>
      </c>
      <c r="H518">
        <v>2009</v>
      </c>
      <c r="I518">
        <f t="shared" si="69"/>
        <v>1</v>
      </c>
      <c r="N518" s="14"/>
      <c r="O518" s="14"/>
      <c r="Q518" s="14"/>
      <c r="R518" s="14"/>
      <c r="S518" s="14"/>
      <c r="T518" s="14"/>
      <c r="U518" s="14"/>
      <c r="V518" s="14" t="str">
        <f t="shared" si="66"/>
        <v/>
      </c>
      <c r="X518" s="85">
        <f t="shared" si="71"/>
        <v>0</v>
      </c>
      <c r="Y518" s="21" t="str">
        <f t="shared" si="72"/>
        <v/>
      </c>
      <c r="AA518" s="55">
        <f t="shared" si="67"/>
        <v>0</v>
      </c>
      <c r="AB518" s="55" t="str">
        <f t="shared" si="68"/>
        <v/>
      </c>
      <c r="AC518" s="55">
        <f t="shared" si="73"/>
        <v>0</v>
      </c>
    </row>
    <row r="519" spans="1:29">
      <c r="A519" t="s">
        <v>284</v>
      </c>
      <c r="B519" s="16" t="str">
        <f>INDEX(emprunts!C:C,MATCH($A519,emprunts!A:A,0))</f>
        <v>Société Générale</v>
      </c>
      <c r="C519" s="18">
        <f>INDEX(emprunts!M:M,MATCH($A519,emprunts!$A:$A,0))</f>
        <v>40452</v>
      </c>
      <c r="D519" s="18">
        <f>IF(INDEX(emprunts!O:O,MATCH($A519,emprunts!$A:$A,0))="",INDEX(emprunts!N:N,MATCH($A519,emprunts!$A:$A,0)),MIN(INDEX(emprunts!N:N,MATCH($A519,emprunts!$A:$A,0)),INDEX(emprunts!O:O,MATCH($A519,emprunts!$A:$A,0))))</f>
        <v>41640</v>
      </c>
      <c r="E519" s="52">
        <f>INDEX(emprunts!I:I,MATCH($A519,emprunts!$A:$A,0))</f>
        <v>25</v>
      </c>
      <c r="F519" s="18" t="str">
        <f>INDEX(emprunts!P:P,MATCH($A519,emprunts!$A:$A,0))</f>
        <v>Barrière avec multiplicateur</v>
      </c>
      <c r="G519" s="126" t="str">
        <f>IF(LEFT(A519,3)="vx_","vx",INDEX(Categorie,MATCH($A519,emprunts!$A$2:$A$149,0)))</f>
        <v>Struct</v>
      </c>
      <c r="H519">
        <v>2009</v>
      </c>
      <c r="I519">
        <f t="shared" si="69"/>
        <v>0</v>
      </c>
      <c r="N519" s="14"/>
      <c r="O519" s="14"/>
      <c r="Q519" s="14"/>
      <c r="R519" s="14"/>
      <c r="S519" s="14"/>
      <c r="T519" s="14"/>
      <c r="U519" s="14"/>
      <c r="V519" s="14" t="str">
        <f t="shared" si="66"/>
        <v/>
      </c>
      <c r="X519" s="85">
        <f t="shared" si="71"/>
        <v>0</v>
      </c>
      <c r="Y519" s="21" t="str">
        <f t="shared" si="72"/>
        <v/>
      </c>
      <c r="AA519" s="55">
        <f t="shared" si="67"/>
        <v>0</v>
      </c>
      <c r="AB519" s="55">
        <f t="shared" si="68"/>
        <v>0</v>
      </c>
      <c r="AC519" s="55">
        <f t="shared" si="73"/>
        <v>0</v>
      </c>
    </row>
    <row r="520" spans="1:29">
      <c r="A520" t="s">
        <v>286</v>
      </c>
      <c r="B520" s="16" t="str">
        <f>INDEX(emprunts!C:C,MATCH($A520,emprunts!A:A,0))</f>
        <v>Dexia CL</v>
      </c>
      <c r="C520" s="18">
        <f>INDEX(emprunts!M:M,MATCH($A520,emprunts!$A:$A,0))</f>
        <v>40179</v>
      </c>
      <c r="D520" s="18">
        <f>IF(INDEX(emprunts!O:O,MATCH($A520,emprunts!$A:$A,0))="",INDEX(emprunts!N:N,MATCH($A520,emprunts!$A:$A,0)),MIN(INDEX(emprunts!N:N,MATCH($A520,emprunts!$A:$A,0)),INDEX(emprunts!O:O,MATCH($A520,emprunts!$A:$A,0))))</f>
        <v>40848</v>
      </c>
      <c r="E520" s="52">
        <f>INDEX(emprunts!I:I,MATCH($A520,emprunts!$A:$A,0))</f>
        <v>23</v>
      </c>
      <c r="F520" s="18" t="str">
        <f>INDEX(emprunts!P:P,MATCH($A520,emprunts!$A:$A,0))</f>
        <v>Barrière avec multiplicateur</v>
      </c>
      <c r="G520" s="126" t="str">
        <f>IF(LEFT(A520,3)="vx_","vx",INDEX(Categorie,MATCH($A520,emprunts!$A$2:$A$149,0)))</f>
        <v>Struct</v>
      </c>
      <c r="H520">
        <v>2009</v>
      </c>
      <c r="I520">
        <f t="shared" si="69"/>
        <v>0</v>
      </c>
      <c r="N520" s="14"/>
      <c r="O520" s="14"/>
      <c r="Q520" s="14"/>
      <c r="R520" s="14"/>
      <c r="S520" s="14"/>
      <c r="T520" s="14"/>
      <c r="U520" s="14"/>
      <c r="V520" s="14" t="str">
        <f t="shared" si="66"/>
        <v/>
      </c>
      <c r="X520" s="85">
        <f t="shared" si="71"/>
        <v>0</v>
      </c>
      <c r="Y520" s="21" t="str">
        <f t="shared" si="72"/>
        <v/>
      </c>
      <c r="AA520" s="55">
        <f t="shared" si="67"/>
        <v>0</v>
      </c>
      <c r="AB520" s="55">
        <f t="shared" si="68"/>
        <v>0</v>
      </c>
      <c r="AC520" s="55">
        <f t="shared" si="73"/>
        <v>0</v>
      </c>
    </row>
    <row r="521" spans="1:29">
      <c r="A521" t="s">
        <v>288</v>
      </c>
      <c r="B521" s="16" t="str">
        <f>INDEX(emprunts!C:C,MATCH($A521,emprunts!A:A,0))</f>
        <v>Société Générale</v>
      </c>
      <c r="C521" s="18">
        <f>INDEX(emprunts!M:M,MATCH($A521,emprunts!$A:$A,0))</f>
        <v>40452</v>
      </c>
      <c r="D521" s="18">
        <f>IF(INDEX(emprunts!O:O,MATCH($A521,emprunts!$A:$A,0))="",INDEX(emprunts!N:N,MATCH($A521,emprunts!$A:$A,0)),MIN(INDEX(emprunts!N:N,MATCH($A521,emprunts!$A:$A,0)),INDEX(emprunts!O:O,MATCH($A521,emprunts!$A:$A,0))))</f>
        <v>41730</v>
      </c>
      <c r="E521" s="52">
        <f>INDEX(emprunts!I:I,MATCH($A521,emprunts!$A:$A,0))</f>
        <v>25</v>
      </c>
      <c r="F521" s="18" t="str">
        <f>INDEX(emprunts!P:P,MATCH($A521,emprunts!$A:$A,0))</f>
        <v>Barrière avec multiplicateur</v>
      </c>
      <c r="G521" s="126" t="str">
        <f>IF(LEFT(A521,3)="vx_","vx",INDEX(Categorie,MATCH($A521,emprunts!$A$2:$A$149,0)))</f>
        <v>Struct</v>
      </c>
      <c r="H521">
        <v>2009</v>
      </c>
      <c r="I521">
        <f t="shared" si="69"/>
        <v>0</v>
      </c>
      <c r="N521" s="14"/>
      <c r="O521" s="14"/>
      <c r="Q521" s="14"/>
      <c r="R521" s="14"/>
      <c r="S521" s="14"/>
      <c r="T521" s="14"/>
      <c r="U521" s="14"/>
      <c r="V521" s="14" t="str">
        <f t="shared" si="66"/>
        <v/>
      </c>
      <c r="X521" s="85">
        <f t="shared" si="71"/>
        <v>0</v>
      </c>
      <c r="Y521" s="21" t="str">
        <f t="shared" si="72"/>
        <v/>
      </c>
      <c r="AA521" s="55">
        <f t="shared" si="67"/>
        <v>0</v>
      </c>
      <c r="AB521" s="55">
        <f t="shared" si="68"/>
        <v>0</v>
      </c>
      <c r="AC521" s="55">
        <f t="shared" si="73"/>
        <v>0</v>
      </c>
    </row>
    <row r="522" spans="1:29">
      <c r="A522" t="s">
        <v>289</v>
      </c>
      <c r="B522" s="16" t="str">
        <f>INDEX(emprunts!C:C,MATCH($A522,emprunts!A:A,0))</f>
        <v>Dexia CL</v>
      </c>
      <c r="C522" s="18">
        <f>INDEX(emprunts!M:M,MATCH($A522,emprunts!$A:$A,0))</f>
        <v>40299</v>
      </c>
      <c r="D522" s="18">
        <f>IF(INDEX(emprunts!O:O,MATCH($A522,emprunts!$A:$A,0))="",INDEX(emprunts!N:N,MATCH($A522,emprunts!$A:$A,0)),MIN(INDEX(emprunts!N:N,MATCH($A522,emprunts!$A:$A,0)),INDEX(emprunts!O:O,MATCH($A522,emprunts!$A:$A,0))))</f>
        <v>40737</v>
      </c>
      <c r="E522" s="52">
        <f>INDEX(emprunts!I:I,MATCH($A522,emprunts!$A:$A,0))</f>
        <v>19</v>
      </c>
      <c r="F522" s="18" t="str">
        <f>INDEX(emprunts!P:P,MATCH($A522,emprunts!$A:$A,0))</f>
        <v>Barrière avec multiplicateur</v>
      </c>
      <c r="G522" s="126" t="str">
        <f>IF(LEFT(A522,3)="vx_","vx",INDEX(Categorie,MATCH($A522,emprunts!$A$2:$A$149,0)))</f>
        <v>Struct</v>
      </c>
      <c r="H522">
        <v>2009</v>
      </c>
      <c r="I522">
        <f t="shared" si="69"/>
        <v>0</v>
      </c>
      <c r="N522" s="14"/>
      <c r="O522" s="14"/>
      <c r="Q522" s="14"/>
      <c r="R522" s="14"/>
      <c r="S522" s="14"/>
      <c r="T522" s="14"/>
      <c r="U522" s="14"/>
      <c r="V522" s="14" t="str">
        <f t="shared" si="66"/>
        <v/>
      </c>
      <c r="X522" s="85">
        <f t="shared" si="71"/>
        <v>0</v>
      </c>
      <c r="Y522" s="21" t="str">
        <f t="shared" si="72"/>
        <v/>
      </c>
      <c r="AA522" s="55">
        <f t="shared" si="67"/>
        <v>0</v>
      </c>
      <c r="AB522" s="55">
        <f t="shared" si="68"/>
        <v>0</v>
      </c>
      <c r="AC522" s="55">
        <f t="shared" si="73"/>
        <v>0</v>
      </c>
    </row>
    <row r="523" spans="1:29">
      <c r="A523" t="s">
        <v>300</v>
      </c>
      <c r="B523" s="16" t="str">
        <f>INDEX(emprunts!C:C,MATCH($A523,emprunts!A:A,0))</f>
        <v>Dexia CL</v>
      </c>
      <c r="C523" s="18">
        <f>INDEX(emprunts!M:M,MATCH($A523,emprunts!$A:$A,0))</f>
        <v>40452</v>
      </c>
      <c r="D523" s="18">
        <f>IF(INDEX(emprunts!O:O,MATCH($A523,emprunts!$A:$A,0))="",INDEX(emprunts!N:N,MATCH($A523,emprunts!$A:$A,0)),MIN(INDEX(emprunts!N:N,MATCH($A523,emprunts!$A:$A,0)),INDEX(emprunts!O:O,MATCH($A523,emprunts!$A:$A,0))))</f>
        <v>40664</v>
      </c>
      <c r="E523" s="52">
        <f>INDEX(emprunts!I:I,MATCH($A523,emprunts!$A:$A,0))</f>
        <v>12</v>
      </c>
      <c r="F523" s="18" t="str">
        <f>INDEX(emprunts!P:P,MATCH($A523,emprunts!$A:$A,0))</f>
        <v>Change</v>
      </c>
      <c r="G523" s="126" t="str">
        <f>IF(LEFT(A523,3)="vx_","vx",INDEX(Categorie,MATCH($A523,emprunts!$A$2:$A$149,0)))</f>
        <v>Struct</v>
      </c>
      <c r="H523">
        <v>2009</v>
      </c>
      <c r="I523">
        <f t="shared" si="69"/>
        <v>0</v>
      </c>
      <c r="N523" s="14"/>
      <c r="O523" s="14"/>
      <c r="Q523" s="14"/>
      <c r="R523" s="14"/>
      <c r="S523" s="14"/>
      <c r="T523" s="14"/>
      <c r="U523" s="14"/>
      <c r="V523" s="14" t="str">
        <f t="shared" si="66"/>
        <v/>
      </c>
      <c r="X523" s="85">
        <f t="shared" si="71"/>
        <v>0</v>
      </c>
      <c r="Y523" s="21" t="str">
        <f t="shared" si="72"/>
        <v/>
      </c>
      <c r="AA523" s="55">
        <f t="shared" si="67"/>
        <v>0</v>
      </c>
      <c r="AB523" s="55">
        <f t="shared" si="68"/>
        <v>0</v>
      </c>
      <c r="AC523" s="55">
        <f t="shared" si="73"/>
        <v>0</v>
      </c>
    </row>
    <row r="524" spans="1:29">
      <c r="A524" t="s">
        <v>302</v>
      </c>
      <c r="B524" s="16" t="str">
        <f>INDEX(emprunts!C:C,MATCH($A524,emprunts!A:A,0))</f>
        <v>Dexia CL</v>
      </c>
      <c r="C524" s="18">
        <f>INDEX(emprunts!M:M,MATCH($A524,emprunts!$A:$A,0))</f>
        <v>40384</v>
      </c>
      <c r="D524" s="18">
        <f>IF(INDEX(emprunts!O:O,MATCH($A524,emprunts!$A:$A,0))="",INDEX(emprunts!N:N,MATCH($A524,emprunts!$A:$A,0)),MIN(INDEX(emprunts!N:N,MATCH($A524,emprunts!$A:$A,0)),INDEX(emprunts!O:O,MATCH($A524,emprunts!$A:$A,0))))</f>
        <v>45901</v>
      </c>
      <c r="E524" s="52">
        <f>INDEX(emprunts!I:I,MATCH($A524,emprunts!$A:$A,0))</f>
        <v>15</v>
      </c>
      <c r="F524" s="18" t="str">
        <f>INDEX(emprunts!P:P,MATCH($A524,emprunts!$A:$A,0))</f>
        <v>Fixe</v>
      </c>
      <c r="G524" s="126" t="str">
        <f>IF(LEFT(A524,3)="vx_","vx",INDEX(Categorie,MATCH($A524,emprunts!$A$2:$A$149,0)))</f>
        <v>Non_st</v>
      </c>
      <c r="H524">
        <v>2009</v>
      </c>
      <c r="I524">
        <f t="shared" si="69"/>
        <v>0</v>
      </c>
      <c r="N524" s="14"/>
      <c r="O524" s="14"/>
      <c r="Q524" s="14"/>
      <c r="R524" s="14"/>
      <c r="S524" s="14"/>
      <c r="T524" s="14"/>
      <c r="U524" s="14"/>
      <c r="V524" s="14" t="str">
        <f t="shared" si="66"/>
        <v/>
      </c>
      <c r="X524" s="85">
        <f t="shared" si="71"/>
        <v>0</v>
      </c>
      <c r="Y524" s="21" t="str">
        <f t="shared" si="72"/>
        <v/>
      </c>
      <c r="AA524" s="55">
        <f t="shared" si="67"/>
        <v>0</v>
      </c>
      <c r="AB524" s="55">
        <f t="shared" si="68"/>
        <v>0</v>
      </c>
      <c r="AC524" s="55">
        <f t="shared" si="73"/>
        <v>0</v>
      </c>
    </row>
    <row r="525" spans="1:29" ht="30">
      <c r="A525" t="s">
        <v>304</v>
      </c>
      <c r="B525" s="16" t="str">
        <f>INDEX(emprunts!C:C,MATCH($A525,emprunts!A:A,0))</f>
        <v>Société Générale</v>
      </c>
      <c r="C525" s="18">
        <f>INDEX(emprunts!M:M,MATCH($A525,emprunts!$A:$A,0))</f>
        <v>40422</v>
      </c>
      <c r="D525" s="18">
        <f>IF(INDEX(emprunts!O:O,MATCH($A525,emprunts!$A:$A,0))="",INDEX(emprunts!N:N,MATCH($A525,emprunts!$A:$A,0)),MIN(INDEX(emprunts!N:N,MATCH($A525,emprunts!$A:$A,0)),INDEX(emprunts!O:O,MATCH($A525,emprunts!$A:$A,0))))</f>
        <v>47818</v>
      </c>
      <c r="E525" s="52">
        <f>INDEX(emprunts!I:I,MATCH($A525,emprunts!$A:$A,0))</f>
        <v>20</v>
      </c>
      <c r="F525" s="18" t="str">
        <f>INDEX(emprunts!P:P,MATCH($A525,emprunts!$A:$A,0))</f>
        <v>Fixe</v>
      </c>
      <c r="G525" s="126" t="str">
        <f>IF(LEFT(A525,3)="vx_","vx",INDEX(Categorie,MATCH($A525,emprunts!$A$2:$A$149,0)))</f>
        <v>Restr_sec</v>
      </c>
      <c r="H525">
        <v>2009</v>
      </c>
      <c r="I525">
        <f t="shared" si="69"/>
        <v>0</v>
      </c>
      <c r="N525" s="14"/>
      <c r="O525" s="14"/>
      <c r="Q525" s="14"/>
      <c r="R525" s="14"/>
      <c r="S525" s="14"/>
      <c r="T525" s="14"/>
      <c r="U525" s="14"/>
      <c r="V525" s="14" t="str">
        <f t="shared" si="66"/>
        <v/>
      </c>
      <c r="X525" s="85">
        <f t="shared" si="71"/>
        <v>0</v>
      </c>
      <c r="Y525" s="21" t="str">
        <f t="shared" si="72"/>
        <v/>
      </c>
      <c r="AA525" s="55">
        <f t="shared" si="67"/>
        <v>0</v>
      </c>
      <c r="AB525" s="55">
        <f t="shared" si="68"/>
        <v>0</v>
      </c>
      <c r="AC525" s="55">
        <f t="shared" si="73"/>
        <v>0</v>
      </c>
    </row>
    <row r="526" spans="1:29">
      <c r="A526" t="s">
        <v>306</v>
      </c>
      <c r="B526" s="16" t="str">
        <f>INDEX(emprunts!C:C,MATCH($A526,emprunts!A:A,0))</f>
        <v>Dexia CL</v>
      </c>
      <c r="C526" s="18">
        <f>INDEX(emprunts!M:M,MATCH($A526,emprunts!$A:$A,0))</f>
        <v>40452</v>
      </c>
      <c r="D526" s="18">
        <f>IF(INDEX(emprunts!O:O,MATCH($A526,emprunts!$A:$A,0))="",INDEX(emprunts!N:N,MATCH($A526,emprunts!$A:$A,0)),MIN(INDEX(emprunts!N:N,MATCH($A526,emprunts!$A:$A,0)),INDEX(emprunts!O:O,MATCH($A526,emprunts!$A:$A,0))))</f>
        <v>41030</v>
      </c>
      <c r="E526" s="52">
        <f>INDEX(emprunts!I:I,MATCH($A526,emprunts!$A:$A,0))</f>
        <v>15</v>
      </c>
      <c r="F526" s="18" t="str">
        <f>INDEX(emprunts!P:P,MATCH($A526,emprunts!$A:$A,0))</f>
        <v>Change</v>
      </c>
      <c r="G526" s="126" t="str">
        <f>IF(LEFT(A526,3)="vx_","vx",INDEX(Categorie,MATCH($A526,emprunts!$A$2:$A$149,0)))</f>
        <v>Struct</v>
      </c>
      <c r="H526">
        <v>2009</v>
      </c>
      <c r="I526">
        <f t="shared" si="69"/>
        <v>0</v>
      </c>
      <c r="N526" s="14"/>
      <c r="O526" s="14"/>
      <c r="Q526" s="14"/>
      <c r="R526" s="14"/>
      <c r="S526" s="14"/>
      <c r="T526" s="14"/>
      <c r="U526" s="14"/>
      <c r="V526" s="14" t="str">
        <f t="shared" si="66"/>
        <v/>
      </c>
      <c r="X526" s="85">
        <f t="shared" si="71"/>
        <v>0</v>
      </c>
      <c r="Y526" s="21" t="str">
        <f t="shared" si="72"/>
        <v/>
      </c>
      <c r="AA526" s="55">
        <f t="shared" si="67"/>
        <v>0</v>
      </c>
      <c r="AB526" s="55">
        <f t="shared" si="68"/>
        <v>0</v>
      </c>
      <c r="AC526" s="55">
        <f t="shared" si="73"/>
        <v>0</v>
      </c>
    </row>
    <row r="527" spans="1:29">
      <c r="A527" t="s">
        <v>311</v>
      </c>
      <c r="B527" s="16" t="str">
        <f>INDEX(emprunts!C:C,MATCH($A527,emprunts!A:A,0))</f>
        <v>Dexia CL</v>
      </c>
      <c r="C527" s="18">
        <f>INDEX(emprunts!M:M,MATCH($A527,emprunts!$A:$A,0))</f>
        <v>40513</v>
      </c>
      <c r="D527" s="18">
        <f>IF(INDEX(emprunts!O:O,MATCH($A527,emprunts!$A:$A,0))="",INDEX(emprunts!N:N,MATCH($A527,emprunts!$A:$A,0)),MIN(INDEX(emprunts!N:N,MATCH($A527,emprunts!$A:$A,0)),INDEX(emprunts!O:O,MATCH($A527,emprunts!$A:$A,0))))</f>
        <v>40878</v>
      </c>
      <c r="E527" s="52">
        <f>INDEX(emprunts!I:I,MATCH($A527,emprunts!$A:$A,0))</f>
        <v>17</v>
      </c>
      <c r="F527" s="18" t="str">
        <f>INDEX(emprunts!P:P,MATCH($A527,emprunts!$A:$A,0))</f>
        <v>Change</v>
      </c>
      <c r="G527" s="126" t="str">
        <f>IF(LEFT(A527,3)="vx_","vx",INDEX(Categorie,MATCH($A527,emprunts!$A$2:$A$149,0)))</f>
        <v>Struct</v>
      </c>
      <c r="H527">
        <v>2009</v>
      </c>
      <c r="I527">
        <f t="shared" si="69"/>
        <v>0</v>
      </c>
      <c r="N527" s="14"/>
      <c r="O527" s="14"/>
      <c r="Q527" s="14"/>
      <c r="R527" s="14"/>
      <c r="S527" s="14"/>
      <c r="T527" s="14"/>
      <c r="U527" s="14"/>
      <c r="V527" s="14" t="str">
        <f t="shared" si="66"/>
        <v/>
      </c>
      <c r="X527" s="85">
        <f t="shared" si="71"/>
        <v>0</v>
      </c>
      <c r="Y527" s="21" t="str">
        <f t="shared" si="72"/>
        <v/>
      </c>
      <c r="AA527" s="55">
        <f t="shared" si="67"/>
        <v>0</v>
      </c>
      <c r="AB527" s="55">
        <f t="shared" si="68"/>
        <v>0</v>
      </c>
      <c r="AC527" s="55">
        <f t="shared" si="73"/>
        <v>0</v>
      </c>
    </row>
    <row r="528" spans="1:29" ht="30">
      <c r="A528" t="s">
        <v>313</v>
      </c>
      <c r="B528" s="16" t="str">
        <f>INDEX(emprunts!C:C,MATCH($A528,emprunts!A:A,0))</f>
        <v>Société Générale</v>
      </c>
      <c r="C528" s="18">
        <f>INDEX(emprunts!M:M,MATCH($A528,emprunts!$A:$A,0))</f>
        <v>40513</v>
      </c>
      <c r="D528" s="18">
        <f>IF(INDEX(emprunts!O:O,MATCH($A528,emprunts!$A:$A,0))="",INDEX(emprunts!N:N,MATCH($A528,emprunts!$A:$A,0)),MIN(INDEX(emprunts!N:N,MATCH($A528,emprunts!$A:$A,0)),INDEX(emprunts!O:O,MATCH($A528,emprunts!$A:$A,0))))</f>
        <v>47818</v>
      </c>
      <c r="E528" s="52">
        <f>INDEX(emprunts!I:I,MATCH($A528,emprunts!$A:$A,0))</f>
        <v>20</v>
      </c>
      <c r="F528" s="18" t="str">
        <f>INDEX(emprunts!P:P,MATCH($A528,emprunts!$A:$A,0))</f>
        <v>Fixe</v>
      </c>
      <c r="G528" s="126" t="str">
        <f>IF(LEFT(A528,3)="vx_","vx",INDEX(Categorie,MATCH($A528,emprunts!$A$2:$A$149,0)))</f>
        <v>Restr_sec</v>
      </c>
      <c r="H528">
        <v>2009</v>
      </c>
      <c r="I528">
        <f t="shared" si="69"/>
        <v>0</v>
      </c>
      <c r="N528" s="14"/>
      <c r="O528" s="14"/>
      <c r="Q528" s="14"/>
      <c r="R528" s="14"/>
      <c r="S528" s="14"/>
      <c r="T528" s="14"/>
      <c r="U528" s="14"/>
      <c r="V528" s="14" t="str">
        <f t="shared" si="66"/>
        <v/>
      </c>
      <c r="X528" s="85">
        <f t="shared" si="71"/>
        <v>0</v>
      </c>
      <c r="Y528" s="21" t="str">
        <f t="shared" si="72"/>
        <v/>
      </c>
      <c r="AA528" s="55">
        <f t="shared" si="67"/>
        <v>0</v>
      </c>
      <c r="AB528" s="55">
        <f t="shared" si="68"/>
        <v>0</v>
      </c>
      <c r="AC528" s="55">
        <f t="shared" si="73"/>
        <v>0</v>
      </c>
    </row>
    <row r="529" spans="1:29">
      <c r="A529" t="s">
        <v>314</v>
      </c>
      <c r="B529" s="16" t="str">
        <f>INDEX(emprunts!C:C,MATCH($A529,emprunts!A:A,0))</f>
        <v>Société Générale</v>
      </c>
      <c r="C529" s="18">
        <f>INDEX(emprunts!M:M,MATCH($A529,emprunts!$A:$A,0))</f>
        <v>40530</v>
      </c>
      <c r="D529" s="18">
        <f>IF(INDEX(emprunts!O:O,MATCH($A529,emprunts!$A:$A,0))="",INDEX(emprunts!N:N,MATCH($A529,emprunts!$A:$A,0)),MIN(INDEX(emprunts!N:N,MATCH($A529,emprunts!$A:$A,0)),INDEX(emprunts!O:O,MATCH($A529,emprunts!$A:$A,0))))</f>
        <v>46112</v>
      </c>
      <c r="E529" s="52">
        <f>INDEX(emprunts!I:I,MATCH($A529,emprunts!$A:$A,0))</f>
        <v>15</v>
      </c>
      <c r="F529" s="18" t="str">
        <f>INDEX(emprunts!P:P,MATCH($A529,emprunts!$A:$A,0))</f>
        <v>Variable</v>
      </c>
      <c r="G529" s="126" t="str">
        <f>IF(LEFT(A529,3)="vx_","vx",INDEX(Categorie,MATCH($A529,emprunts!$A$2:$A$149,0)))</f>
        <v>Non_st</v>
      </c>
      <c r="H529">
        <v>2009</v>
      </c>
      <c r="I529">
        <f t="shared" si="69"/>
        <v>0</v>
      </c>
      <c r="N529" s="14"/>
      <c r="O529" s="14"/>
      <c r="Q529" s="14"/>
      <c r="R529" s="14"/>
      <c r="S529" s="14"/>
      <c r="T529" s="14"/>
      <c r="U529" s="14"/>
      <c r="V529" s="14" t="str">
        <f t="shared" si="66"/>
        <v/>
      </c>
      <c r="X529" s="85">
        <f t="shared" si="71"/>
        <v>0</v>
      </c>
      <c r="Y529" s="21" t="str">
        <f t="shared" si="72"/>
        <v/>
      </c>
      <c r="AA529" s="55">
        <f t="shared" si="67"/>
        <v>0</v>
      </c>
      <c r="AB529" s="55">
        <f t="shared" si="68"/>
        <v>0</v>
      </c>
      <c r="AC529" s="55">
        <f t="shared" si="73"/>
        <v>0</v>
      </c>
    </row>
    <row r="530" spans="1:29">
      <c r="A530" s="1" t="s">
        <v>540</v>
      </c>
      <c r="B530" s="16" t="str">
        <f>INDEX(emprunts!C:C,MATCH($A530,emprunts!A:A,0))</f>
        <v>Crédit Mutuel</v>
      </c>
      <c r="C530" s="18">
        <f>INDEX(emprunts!M:M,MATCH($A530,emprunts!$A:$A,0))</f>
        <v>36495</v>
      </c>
      <c r="D530" s="18">
        <f>IF(INDEX(emprunts!O:O,MATCH($A530,emprunts!$A:$A,0))="",INDEX(emprunts!N:N,MATCH($A530,emprunts!$A:$A,0)),MIN(INDEX(emprunts!N:N,MATCH($A530,emprunts!$A:$A,0)),INDEX(emprunts!O:O,MATCH($A530,emprunts!$A:$A,0))))</f>
        <v>41973</v>
      </c>
      <c r="E530" s="52">
        <f>INDEX(emprunts!I:I,MATCH($A530,emprunts!$A:$A,0))</f>
        <v>15</v>
      </c>
      <c r="F530" s="18" t="str">
        <f>INDEX(emprunts!P:P,MATCH($A530,emprunts!$A:$A,0))</f>
        <v>Fixe à phase</v>
      </c>
      <c r="G530" s="126" t="str">
        <f>IF(LEFT(A530,3)="vx_","vx",INDEX(Categorie,MATCH($A530,emprunts!$A$2:$A$149,0)))</f>
        <v>Non_st</v>
      </c>
      <c r="H530" s="6">
        <v>2010</v>
      </c>
      <c r="I530">
        <f t="shared" si="69"/>
        <v>1</v>
      </c>
      <c r="J530" s="4"/>
      <c r="K530" t="s">
        <v>155</v>
      </c>
      <c r="L530" s="5">
        <v>36860</v>
      </c>
      <c r="M530" s="5">
        <v>36860</v>
      </c>
      <c r="N530" s="14">
        <v>1524490.17</v>
      </c>
      <c r="O530" s="14">
        <v>572581</v>
      </c>
      <c r="P530" s="4">
        <v>3.5249999999999997E-2</v>
      </c>
      <c r="Q530" s="14">
        <v>24807.279999999999</v>
      </c>
      <c r="R530" s="14">
        <v>131171.19</v>
      </c>
      <c r="S530" s="14"/>
      <c r="T530" s="14">
        <v>2106.92</v>
      </c>
      <c r="U530" s="14">
        <f t="shared" ref="U530:U531" si="77">SUM(Q530:S530)</f>
        <v>155978.47</v>
      </c>
      <c r="V530" s="14">
        <f t="shared" si="66"/>
        <v>0</v>
      </c>
      <c r="W530" s="85"/>
      <c r="X530" s="85">
        <f t="shared" si="71"/>
        <v>0</v>
      </c>
      <c r="Y530" s="21">
        <f t="shared" si="72"/>
        <v>3.8979526761553335E-2</v>
      </c>
      <c r="AA530" s="55">
        <f t="shared" si="67"/>
        <v>24807.279999999999</v>
      </c>
      <c r="AB530" s="55">
        <f t="shared" si="68"/>
        <v>-0.81000000005587935</v>
      </c>
      <c r="AC530" s="55">
        <f t="shared" si="73"/>
        <v>636418.19336986297</v>
      </c>
    </row>
    <row r="531" spans="1:29">
      <c r="A531" t="s">
        <v>10</v>
      </c>
      <c r="B531" s="16" t="str">
        <f>INDEX(emprunts!C:C,MATCH($A531,emprunts!A:A,0))</f>
        <v>Crédit Mutuel</v>
      </c>
      <c r="C531" s="18">
        <f>INDEX(emprunts!M:M,MATCH($A531,emprunts!$A:$A,0))</f>
        <v>36950</v>
      </c>
      <c r="D531" s="18">
        <f>IF(INDEX(emprunts!O:O,MATCH($A531,emprunts!$A:$A,0))="",INDEX(emprunts!N:N,MATCH($A531,emprunts!$A:$A,0)),MIN(INDEX(emprunts!N:N,MATCH($A531,emprunts!$A:$A,0)),INDEX(emprunts!O:O,MATCH($A531,emprunts!$A:$A,0))))</f>
        <v>42429</v>
      </c>
      <c r="E531" s="52">
        <f>INDEX(emprunts!I:I,MATCH($A531,emprunts!$A:$A,0))</f>
        <v>15</v>
      </c>
      <c r="F531" s="18" t="str">
        <f>INDEX(emprunts!P:P,MATCH($A531,emprunts!$A:$A,0))</f>
        <v>Fixe</v>
      </c>
      <c r="G531" s="126" t="str">
        <f>IF(LEFT(A531,3)="vx_","vx",INDEX(Categorie,MATCH($A531,emprunts!$A$2:$A$149,0)))</f>
        <v>Non_st</v>
      </c>
      <c r="H531">
        <v>2010</v>
      </c>
      <c r="I531">
        <f t="shared" si="69"/>
        <v>1</v>
      </c>
      <c r="L531" s="5">
        <v>37315</v>
      </c>
      <c r="M531" s="5">
        <v>38045</v>
      </c>
      <c r="N531" s="14"/>
      <c r="O531" s="14">
        <v>281444</v>
      </c>
      <c r="P531" s="4">
        <v>3.5333000000000003E-2</v>
      </c>
      <c r="Q531" s="14">
        <v>11600.67</v>
      </c>
      <c r="R531" s="14">
        <v>46907.39</v>
      </c>
      <c r="S531" s="14"/>
      <c r="T531" s="14">
        <v>9725.49</v>
      </c>
      <c r="U531" s="14">
        <f t="shared" si="77"/>
        <v>58508.06</v>
      </c>
      <c r="V531" s="14">
        <f t="shared" si="66"/>
        <v>0</v>
      </c>
      <c r="X531" s="85">
        <f t="shared" si="71"/>
        <v>0</v>
      </c>
      <c r="Y531" s="21">
        <f t="shared" si="72"/>
        <v>2.4961655986367404E-2</v>
      </c>
      <c r="AA531" s="55">
        <f t="shared" si="67"/>
        <v>7589.9</v>
      </c>
      <c r="AB531" s="55">
        <f t="shared" si="68"/>
        <v>-0.60999999998603016</v>
      </c>
      <c r="AC531" s="55">
        <f t="shared" si="73"/>
        <v>304062.35884931509</v>
      </c>
    </row>
    <row r="532" spans="1:29">
      <c r="A532" t="s">
        <v>14</v>
      </c>
      <c r="B532" s="16" t="str">
        <f>INDEX(emprunts!C:C,MATCH($A532,emprunts!A:A,0))</f>
        <v>CDC</v>
      </c>
      <c r="C532" s="18">
        <f>INDEX(emprunts!M:M,MATCH($A532,emprunts!$A:$A,0))</f>
        <v>37006</v>
      </c>
      <c r="D532" s="18">
        <f>IF(INDEX(emprunts!O:O,MATCH($A532,emprunts!$A:$A,0))="",INDEX(emprunts!N:N,MATCH($A532,emprunts!$A:$A,0)),MIN(INDEX(emprunts!N:N,MATCH($A532,emprunts!$A:$A,0)),INDEX(emprunts!O:O,MATCH($A532,emprunts!$A:$A,0))))</f>
        <v>38102</v>
      </c>
      <c r="E532" s="52">
        <f>INDEX(emprunts!I:I,MATCH($A532,emprunts!$A:$A,0))</f>
        <v>3</v>
      </c>
      <c r="F532" s="18" t="str">
        <f>INDEX(emprunts!P:P,MATCH($A532,emprunts!$A:$A,0))</f>
        <v>Fixe</v>
      </c>
      <c r="G532" s="126" t="str">
        <f>IF(LEFT(A532,3)="vx_","vx",INDEX(Categorie,MATCH($A532,emprunts!$A$2:$A$149,0)))</f>
        <v>Non_st</v>
      </c>
      <c r="H532">
        <v>2010</v>
      </c>
      <c r="I532">
        <f t="shared" si="69"/>
        <v>1</v>
      </c>
      <c r="N532" s="14"/>
      <c r="O532" s="14"/>
      <c r="Q532" s="14"/>
      <c r="R532" s="14"/>
      <c r="S532" s="14"/>
      <c r="T532" s="14"/>
      <c r="U532" s="14"/>
      <c r="V532" s="14" t="str">
        <f t="shared" si="66"/>
        <v/>
      </c>
      <c r="X532" s="85">
        <f t="shared" si="71"/>
        <v>0</v>
      </c>
      <c r="Y532" s="21" t="str">
        <f t="shared" si="72"/>
        <v/>
      </c>
      <c r="AA532" s="55">
        <f t="shared" si="67"/>
        <v>0</v>
      </c>
      <c r="AB532" s="55">
        <f t="shared" si="68"/>
        <v>0</v>
      </c>
      <c r="AC532" s="55">
        <f t="shared" si="73"/>
        <v>0</v>
      </c>
    </row>
    <row r="533" spans="1:29">
      <c r="A533" t="s">
        <v>26</v>
      </c>
      <c r="B533" s="16" t="str">
        <f>INDEX(emprunts!C:C,MATCH($A533,emprunts!A:A,0))</f>
        <v>CDC</v>
      </c>
      <c r="C533" s="18">
        <f>INDEX(emprunts!M:M,MATCH($A533,emprunts!$A:$A,0))</f>
        <v>37281</v>
      </c>
      <c r="D533" s="18">
        <f>IF(INDEX(emprunts!O:O,MATCH($A533,emprunts!$A:$A,0))="",INDEX(emprunts!N:N,MATCH($A533,emprunts!$A:$A,0)),MIN(INDEX(emprunts!N:N,MATCH($A533,emprunts!$A:$A,0)),INDEX(emprunts!O:O,MATCH($A533,emprunts!$A:$A,0))))</f>
        <v>39838</v>
      </c>
      <c r="E533" s="52">
        <f>INDEX(emprunts!I:I,MATCH($A533,emprunts!$A:$A,0))</f>
        <v>7</v>
      </c>
      <c r="F533" s="18" t="str">
        <f>INDEX(emprunts!P:P,MATCH($A533,emprunts!$A:$A,0))</f>
        <v>Fixe</v>
      </c>
      <c r="G533" s="126" t="str">
        <f>IF(LEFT(A533,3)="vx_","vx",INDEX(Categorie,MATCH($A533,emprunts!$A$2:$A$149,0)))</f>
        <v>Non_st</v>
      </c>
      <c r="H533">
        <v>2010</v>
      </c>
      <c r="I533">
        <f t="shared" si="69"/>
        <v>1</v>
      </c>
      <c r="N533" s="14"/>
      <c r="O533" s="14"/>
      <c r="Q533" s="14"/>
      <c r="R533" s="14"/>
      <c r="S533" s="14"/>
      <c r="T533" s="14"/>
      <c r="U533" s="14"/>
      <c r="V533" s="14" t="str">
        <f t="shared" si="66"/>
        <v/>
      </c>
      <c r="X533" s="85">
        <f t="shared" si="71"/>
        <v>0</v>
      </c>
      <c r="Y533" s="21" t="str">
        <f t="shared" si="72"/>
        <v/>
      </c>
      <c r="AA533" s="55">
        <f t="shared" si="67"/>
        <v>0</v>
      </c>
      <c r="AB533" s="55">
        <f t="shared" si="68"/>
        <v>0</v>
      </c>
      <c r="AC533" s="55">
        <f t="shared" si="73"/>
        <v>0</v>
      </c>
    </row>
    <row r="534" spans="1:29">
      <c r="A534" t="s">
        <v>28</v>
      </c>
      <c r="B534" s="16" t="str">
        <f>INDEX(emprunts!C:C,MATCH($A534,emprunts!A:A,0))</f>
        <v>CDC</v>
      </c>
      <c r="C534" s="18">
        <f>INDEX(emprunts!M:M,MATCH($A534,emprunts!$A:$A,0))</f>
        <v>37288</v>
      </c>
      <c r="D534" s="18">
        <f>IF(INDEX(emprunts!O:O,MATCH($A534,emprunts!$A:$A,0))="",INDEX(emprunts!N:N,MATCH($A534,emprunts!$A:$A,0)),MIN(INDEX(emprunts!N:N,MATCH($A534,emprunts!$A:$A,0)),INDEX(emprunts!O:O,MATCH($A534,emprunts!$A:$A,0))))</f>
        <v>44593</v>
      </c>
      <c r="E534" s="52">
        <f>INDEX(emprunts!I:I,MATCH($A534,emprunts!$A:$A,0))</f>
        <v>20</v>
      </c>
      <c r="F534" s="18" t="str">
        <f>INDEX(emprunts!P:P,MATCH($A534,emprunts!$A:$A,0))</f>
        <v>Livret A</v>
      </c>
      <c r="G534" s="126" t="str">
        <f>IF(LEFT(A534,3)="vx_","vx",INDEX(Categorie,MATCH($A534,emprunts!$A$2:$A$149,0)))</f>
        <v>Livr_A</v>
      </c>
      <c r="H534">
        <v>2010</v>
      </c>
      <c r="I534">
        <f t="shared" si="69"/>
        <v>1</v>
      </c>
      <c r="L534" s="5">
        <v>37653</v>
      </c>
      <c r="M534" s="5">
        <v>37653</v>
      </c>
      <c r="N534" s="14">
        <v>2137796</v>
      </c>
      <c r="O534" s="14">
        <v>1419246</v>
      </c>
      <c r="P534" s="4">
        <v>1.2500000000000001E-2</v>
      </c>
      <c r="Q534" s="14">
        <v>37990.35</v>
      </c>
      <c r="R534" s="14">
        <v>100367.87</v>
      </c>
      <c r="S534" s="14"/>
      <c r="T534" s="14">
        <v>34659.69</v>
      </c>
      <c r="U534" s="14">
        <f t="shared" ref="U534" si="78">SUM(Q534:S534)</f>
        <v>138358.22</v>
      </c>
      <c r="V534" s="14">
        <f t="shared" si="66"/>
        <v>0</v>
      </c>
      <c r="X534" s="85">
        <f t="shared" si="71"/>
        <v>0</v>
      </c>
      <c r="Y534" s="21">
        <f t="shared" si="72"/>
        <v>2.6165362858934102E-2</v>
      </c>
      <c r="AA534" s="55">
        <f t="shared" si="67"/>
        <v>38342.830000000009</v>
      </c>
      <c r="AB534" s="55">
        <f t="shared" si="68"/>
        <v>-0.12999999988824129</v>
      </c>
      <c r="AC534" s="55">
        <f t="shared" si="73"/>
        <v>1465404.099561644</v>
      </c>
    </row>
    <row r="535" spans="1:29">
      <c r="A535" t="s">
        <v>31</v>
      </c>
      <c r="B535" s="16" t="str">
        <f>INDEX(emprunts!C:C,MATCH($A535,emprunts!A:A,0))</f>
        <v>CDC</v>
      </c>
      <c r="C535" s="18">
        <f>INDEX(emprunts!M:M,MATCH($A535,emprunts!$A:$A,0))</f>
        <v>37347</v>
      </c>
      <c r="D535" s="18">
        <f>IF(INDEX(emprunts!O:O,MATCH($A535,emprunts!$A:$A,0))="",INDEX(emprunts!N:N,MATCH($A535,emprunts!$A:$A,0)),MIN(INDEX(emprunts!N:N,MATCH($A535,emprunts!$A:$A,0)),INDEX(emprunts!O:O,MATCH($A535,emprunts!$A:$A,0))))</f>
        <v>44652</v>
      </c>
      <c r="E535" s="52">
        <f>INDEX(emprunts!I:I,MATCH($A535,emprunts!$A:$A,0))</f>
        <v>20</v>
      </c>
      <c r="F535" s="18" t="str">
        <f>INDEX(emprunts!P:P,MATCH($A535,emprunts!$A:$A,0))</f>
        <v>Livret A</v>
      </c>
      <c r="G535" s="126" t="str">
        <f>IF(LEFT(A535,3)="vx_","vx",INDEX(Categorie,MATCH($A535,emprunts!$A$2:$A$149,0)))</f>
        <v>Livr_A</v>
      </c>
      <c r="H535">
        <v>2010</v>
      </c>
      <c r="I535">
        <f t="shared" si="69"/>
        <v>1</v>
      </c>
      <c r="N535" s="14"/>
      <c r="O535" s="14"/>
      <c r="Q535" s="14"/>
      <c r="R535" s="14"/>
      <c r="S535" s="14"/>
      <c r="T535" s="14"/>
      <c r="U535" s="14"/>
      <c r="V535" s="14" t="str">
        <f t="shared" si="66"/>
        <v/>
      </c>
      <c r="X535" s="85">
        <f t="shared" si="71"/>
        <v>0</v>
      </c>
      <c r="Y535" s="21" t="str">
        <f t="shared" si="72"/>
        <v/>
      </c>
      <c r="AA535" s="55">
        <f t="shared" si="67"/>
        <v>0</v>
      </c>
      <c r="AB535" s="55">
        <f t="shared" si="68"/>
        <v>0</v>
      </c>
      <c r="AC535" s="55">
        <f t="shared" si="73"/>
        <v>0</v>
      </c>
    </row>
    <row r="536" spans="1:29">
      <c r="A536" t="s">
        <v>33</v>
      </c>
      <c r="B536" s="16" t="str">
        <f>INDEX(emprunts!C:C,MATCH($A536,emprunts!A:A,0))</f>
        <v>Crédit Agricole</v>
      </c>
      <c r="C536" s="18">
        <f>INDEX(emprunts!M:M,MATCH($A536,emprunts!$A:$A,0))</f>
        <v>37361</v>
      </c>
      <c r="D536" s="18">
        <f>IF(INDEX(emprunts!O:O,MATCH($A536,emprunts!$A:$A,0))="",INDEX(emprunts!N:N,MATCH($A536,emprunts!$A:$A,0)),MIN(INDEX(emprunts!N:N,MATCH($A536,emprunts!$A:$A,0)),INDEX(emprunts!O:O,MATCH($A536,emprunts!$A:$A,0))))</f>
        <v>42843</v>
      </c>
      <c r="E536" s="52">
        <f>INDEX(emprunts!I:I,MATCH($A536,emprunts!$A:$A,0))</f>
        <v>15</v>
      </c>
      <c r="F536" s="18" t="str">
        <f>INDEX(emprunts!P:P,MATCH($A536,emprunts!$A:$A,0))</f>
        <v>Barrière hors zone EUR</v>
      </c>
      <c r="G536" s="126" t="str">
        <f>IF(LEFT(A536,3)="vx_","vx",INDEX(Categorie,MATCH($A536,emprunts!$A$2:$A$149,0)))</f>
        <v>Struct</v>
      </c>
      <c r="H536">
        <v>2010</v>
      </c>
      <c r="I536">
        <f t="shared" si="69"/>
        <v>1</v>
      </c>
      <c r="L536" s="5">
        <v>37726</v>
      </c>
      <c r="M536" s="5">
        <v>37726</v>
      </c>
      <c r="N536" s="14"/>
      <c r="O536" s="14">
        <v>6953201</v>
      </c>
      <c r="P536" s="4">
        <v>6.1999999999999998E-3</v>
      </c>
      <c r="Q536" s="14">
        <v>150581.42000000001</v>
      </c>
      <c r="R536" s="14">
        <v>863570.72</v>
      </c>
      <c r="S536" s="14"/>
      <c r="T536" s="14">
        <v>50244.47</v>
      </c>
      <c r="U536" s="14">
        <f t="shared" ref="U536" si="79">SUM(Q536:S536)</f>
        <v>1014152.14</v>
      </c>
      <c r="V536" s="14">
        <f t="shared" si="66"/>
        <v>0</v>
      </c>
      <c r="X536" s="85">
        <f t="shared" si="71"/>
        <v>0</v>
      </c>
      <c r="Y536" s="21">
        <f t="shared" si="72"/>
        <v>1.2704078926411464E-2</v>
      </c>
      <c r="AA536" s="55">
        <f t="shared" si="67"/>
        <v>93562.410000000018</v>
      </c>
      <c r="AB536" s="55">
        <f t="shared" si="68"/>
        <v>-0.28000000026077032</v>
      </c>
      <c r="AC536" s="55">
        <f t="shared" si="73"/>
        <v>7364753.5206575347</v>
      </c>
    </row>
    <row r="537" spans="1:29">
      <c r="A537" t="s">
        <v>59</v>
      </c>
      <c r="B537" s="16" t="str">
        <f>INDEX(emprunts!C:C,MATCH($A537,emprunts!A:A,0))</f>
        <v>CDC</v>
      </c>
      <c r="C537" s="18">
        <f>INDEX(emprunts!M:M,MATCH($A537,emprunts!$A:$A,0))</f>
        <v>37621</v>
      </c>
      <c r="D537" s="18">
        <f>IF(INDEX(emprunts!O:O,MATCH($A537,emprunts!$A:$A,0))="",INDEX(emprunts!N:N,MATCH($A537,emprunts!$A:$A,0)),MIN(INDEX(emprunts!N:N,MATCH($A537,emprunts!$A:$A,0)),INDEX(emprunts!O:O,MATCH($A537,emprunts!$A:$A,0))))</f>
        <v>44927</v>
      </c>
      <c r="E537" s="52">
        <f>INDEX(emprunts!I:I,MATCH($A537,emprunts!$A:$A,0))</f>
        <v>20</v>
      </c>
      <c r="F537" s="18" t="str">
        <f>INDEX(emprunts!P:P,MATCH($A537,emprunts!$A:$A,0))</f>
        <v>Livret A</v>
      </c>
      <c r="G537" s="126" t="str">
        <f>IF(LEFT(A537,3)="vx_","vx",INDEX(Categorie,MATCH($A537,emprunts!$A$2:$A$149,0)))</f>
        <v>Livr_A</v>
      </c>
      <c r="H537">
        <v>2010</v>
      </c>
      <c r="I537">
        <f t="shared" si="69"/>
        <v>1</v>
      </c>
      <c r="N537" s="14"/>
      <c r="O537" s="14"/>
      <c r="Q537" s="14"/>
      <c r="R537" s="14"/>
      <c r="S537" s="14"/>
      <c r="T537" s="14"/>
      <c r="U537" s="14"/>
      <c r="V537" s="14" t="str">
        <f t="shared" ref="V537:V569" si="80">IF(U537="","",U537-SUM(Q537:S537))</f>
        <v/>
      </c>
      <c r="X537" s="85">
        <f t="shared" si="71"/>
        <v>0</v>
      </c>
      <c r="Y537" s="21" t="str">
        <f t="shared" si="72"/>
        <v/>
      </c>
      <c r="AA537" s="55">
        <f t="shared" si="67"/>
        <v>0</v>
      </c>
      <c r="AB537" s="55">
        <f t="shared" si="68"/>
        <v>0</v>
      </c>
      <c r="AC537" s="55">
        <f t="shared" si="73"/>
        <v>0</v>
      </c>
    </row>
    <row r="538" spans="1:29">
      <c r="A538" t="s">
        <v>79</v>
      </c>
      <c r="B538" s="16" t="str">
        <f>INDEX(emprunts!C:C,MATCH($A538,emprunts!A:A,0))</f>
        <v>Caisse d'Épargne</v>
      </c>
      <c r="C538" s="18">
        <f>INDEX(emprunts!M:M,MATCH($A538,emprunts!$A:$A,0))</f>
        <v>37803</v>
      </c>
      <c r="D538" s="18">
        <f>IF(INDEX(emprunts!O:O,MATCH($A538,emprunts!$A:$A,0))="",INDEX(emprunts!N:N,MATCH($A538,emprunts!$A:$A,0)),MIN(INDEX(emprunts!N:N,MATCH($A538,emprunts!$A:$A,0)),INDEX(emprunts!O:O,MATCH($A538,emprunts!$A:$A,0))))</f>
        <v>38773</v>
      </c>
      <c r="E538" s="52">
        <f>INDEX(emprunts!I:I,MATCH($A538,emprunts!$A:$A,0))</f>
        <v>20</v>
      </c>
      <c r="F538" s="18" t="str">
        <f>INDEX(emprunts!P:P,MATCH($A538,emprunts!$A:$A,0))</f>
        <v>Barrière hors zone EUR</v>
      </c>
      <c r="G538" s="126" t="str">
        <f>IF(LEFT(A538,3)="vx_","vx",INDEX(Categorie,MATCH($A538,emprunts!$A$2:$A$149,0)))</f>
        <v>Struct</v>
      </c>
      <c r="H538">
        <v>2010</v>
      </c>
      <c r="I538">
        <f t="shared" si="69"/>
        <v>1</v>
      </c>
      <c r="N538" s="14"/>
      <c r="O538" s="14"/>
      <c r="Q538" s="14"/>
      <c r="R538" s="14"/>
      <c r="S538" s="14"/>
      <c r="T538" s="14"/>
      <c r="U538" s="14"/>
      <c r="V538" s="14" t="str">
        <f t="shared" si="80"/>
        <v/>
      </c>
      <c r="X538" s="85">
        <f t="shared" si="71"/>
        <v>0</v>
      </c>
      <c r="Y538" s="21" t="str">
        <f t="shared" si="72"/>
        <v/>
      </c>
      <c r="AA538" s="55">
        <f t="shared" si="67"/>
        <v>0</v>
      </c>
      <c r="AB538" s="55">
        <f t="shared" si="68"/>
        <v>0</v>
      </c>
      <c r="AC538" s="55">
        <f t="shared" si="73"/>
        <v>0</v>
      </c>
    </row>
    <row r="539" spans="1:29">
      <c r="A539" t="s">
        <v>84</v>
      </c>
      <c r="B539" s="16" t="str">
        <f>INDEX(emprunts!C:C,MATCH($A539,emprunts!A:A,0))</f>
        <v>Caisse d'Épargne</v>
      </c>
      <c r="C539" s="18">
        <f>INDEX(emprunts!M:M,MATCH($A539,emprunts!$A:$A,0))</f>
        <v>37865</v>
      </c>
      <c r="D539" s="18">
        <f>IF(INDEX(emprunts!O:O,MATCH($A539,emprunts!$A:$A,0))="",INDEX(emprunts!N:N,MATCH($A539,emprunts!$A:$A,0)),MIN(INDEX(emprunts!N:N,MATCH($A539,emprunts!$A:$A,0)),INDEX(emprunts!O:O,MATCH($A539,emprunts!$A:$A,0))))</f>
        <v>38961</v>
      </c>
      <c r="E539" s="52">
        <f>INDEX(emprunts!I:I,MATCH($A539,emprunts!$A:$A,0))</f>
        <v>3</v>
      </c>
      <c r="F539" s="18" t="str">
        <f>INDEX(emprunts!P:P,MATCH($A539,emprunts!$A:$A,0))</f>
        <v>Fixe</v>
      </c>
      <c r="G539" s="126" t="str">
        <f>IF(LEFT(A539,3)="vx_","vx",INDEX(Categorie,MATCH($A539,emprunts!$A$2:$A$149,0)))</f>
        <v>Non_st</v>
      </c>
      <c r="H539">
        <v>2010</v>
      </c>
      <c r="I539">
        <f t="shared" si="69"/>
        <v>1</v>
      </c>
      <c r="N539" s="14"/>
      <c r="O539" s="14"/>
      <c r="Q539" s="14"/>
      <c r="R539" s="14"/>
      <c r="S539" s="14"/>
      <c r="T539" s="14"/>
      <c r="U539" s="14"/>
      <c r="V539" s="14" t="str">
        <f t="shared" si="80"/>
        <v/>
      </c>
      <c r="X539" s="85">
        <f t="shared" si="71"/>
        <v>0</v>
      </c>
      <c r="Y539" s="21" t="str">
        <f t="shared" si="72"/>
        <v/>
      </c>
      <c r="AA539" s="55">
        <f t="shared" si="67"/>
        <v>0</v>
      </c>
      <c r="AB539" s="55">
        <f t="shared" si="68"/>
        <v>0</v>
      </c>
      <c r="AC539" s="55">
        <f t="shared" si="73"/>
        <v>0</v>
      </c>
    </row>
    <row r="540" spans="1:29">
      <c r="A540" t="s">
        <v>86</v>
      </c>
      <c r="B540" s="16" t="str">
        <f>INDEX(emprunts!C:C,MATCH($A540,emprunts!A:A,0))</f>
        <v>Caisse d'Épargne</v>
      </c>
      <c r="C540" s="18">
        <f>INDEX(emprunts!M:M,MATCH($A540,emprunts!$A:$A,0))</f>
        <v>38022</v>
      </c>
      <c r="D540" s="18">
        <f>IF(INDEX(emprunts!O:O,MATCH($A540,emprunts!$A:$A,0))="",INDEX(emprunts!N:N,MATCH($A540,emprunts!$A:$A,0)),MIN(INDEX(emprunts!N:N,MATCH($A540,emprunts!$A:$A,0)),INDEX(emprunts!O:O,MATCH($A540,emprunts!$A:$A,0))))</f>
        <v>40719</v>
      </c>
      <c r="E540" s="52">
        <f>INDEX(emprunts!I:I,MATCH($A540,emprunts!$A:$A,0))</f>
        <v>7</v>
      </c>
      <c r="F540" s="18" t="str">
        <f>INDEX(emprunts!P:P,MATCH($A540,emprunts!$A:$A,0))</f>
        <v>Fixe</v>
      </c>
      <c r="G540" s="126" t="str">
        <f>IF(LEFT(A540,3)="vx_","vx",INDEX(Categorie,MATCH($A540,emprunts!$A$2:$A$149,0)))</f>
        <v>Non_st</v>
      </c>
      <c r="H540">
        <v>2010</v>
      </c>
      <c r="I540">
        <f t="shared" si="69"/>
        <v>1</v>
      </c>
      <c r="N540" s="14"/>
      <c r="O540" s="14">
        <v>599592</v>
      </c>
      <c r="P540" s="4">
        <v>3.7999999999999999E-2</v>
      </c>
      <c r="Q540" s="14">
        <v>44734.89</v>
      </c>
      <c r="R540" s="14">
        <v>577641.80000000005</v>
      </c>
      <c r="S540" s="14"/>
      <c r="T540" s="14">
        <v>23164.09</v>
      </c>
      <c r="U540" s="14">
        <f t="shared" ref="U540" si="81">SUM(Q540:S540)</f>
        <v>622376.69000000006</v>
      </c>
      <c r="V540" s="14">
        <f t="shared" si="80"/>
        <v>0</v>
      </c>
      <c r="X540" s="85">
        <f t="shared" si="71"/>
        <v>0</v>
      </c>
      <c r="Y540" s="21">
        <f t="shared" si="72"/>
        <v>5.0492049416944018E-2</v>
      </c>
      <c r="AA540" s="55">
        <f t="shared" si="67"/>
        <v>44734.89</v>
      </c>
      <c r="AB540" s="55">
        <f t="shared" si="68"/>
        <v>-0.19999999995343387</v>
      </c>
      <c r="AC540" s="55">
        <f t="shared" si="73"/>
        <v>885978.89205479459</v>
      </c>
    </row>
    <row r="541" spans="1:29">
      <c r="A541" t="s">
        <v>123</v>
      </c>
      <c r="B541" s="16" t="str">
        <f>INDEX(emprunts!C:C,MATCH($A541,emprunts!A:A,0))</f>
        <v>Crédit Mutuel</v>
      </c>
      <c r="C541" s="18">
        <f>INDEX(emprunts!M:M,MATCH($A541,emprunts!$A:$A,0))</f>
        <v>38435</v>
      </c>
      <c r="D541" s="18">
        <f>IF(INDEX(emprunts!O:O,MATCH($A541,emprunts!$A:$A,0))="",INDEX(emprunts!N:N,MATCH($A541,emprunts!$A:$A,0)),MIN(INDEX(emprunts!N:N,MATCH($A541,emprunts!$A:$A,0)),INDEX(emprunts!O:O,MATCH($A541,emprunts!$A:$A,0))))</f>
        <v>40260</v>
      </c>
      <c r="E541" s="52">
        <f>INDEX(emprunts!I:I,MATCH($A541,emprunts!$A:$A,0))</f>
        <v>5</v>
      </c>
      <c r="F541" s="18" t="str">
        <f>INDEX(emprunts!P:P,MATCH($A541,emprunts!$A:$A,0))</f>
        <v>Fixe</v>
      </c>
      <c r="G541" s="126" t="str">
        <f>IF(LEFT(A541,3)="vx_","vx",INDEX(Categorie,MATCH($A541,emprunts!$A$2:$A$149,0)))</f>
        <v>Non_st</v>
      </c>
      <c r="H541">
        <v>2010</v>
      </c>
      <c r="I541">
        <f t="shared" ref="I541:I591" si="82">1*(C541&lt;DATE(H541,12,31))</f>
        <v>1</v>
      </c>
      <c r="N541" s="14">
        <v>1808556.04</v>
      </c>
      <c r="O541" s="14">
        <v>0</v>
      </c>
      <c r="P541" s="4">
        <v>2.9700000000000001E-2</v>
      </c>
      <c r="Q541" s="14">
        <v>11380.67</v>
      </c>
      <c r="R541" s="14">
        <v>383187.62</v>
      </c>
      <c r="S541" s="14"/>
      <c r="T541" s="14">
        <v>9541.0499999999993</v>
      </c>
      <c r="U541" s="14">
        <f t="shared" ref="U541" si="83">SUM(Q541:S541)</f>
        <v>394568.29</v>
      </c>
      <c r="V541" s="14">
        <f t="shared" si="80"/>
        <v>0</v>
      </c>
      <c r="X541" s="85">
        <f t="shared" ref="X541:X591" si="84">SUMPRODUCT((De=$A541)*(année_refi=$H541),Montant_transfere)</f>
        <v>0</v>
      </c>
      <c r="Y541" s="21">
        <f t="shared" si="72"/>
        <v>0.26766661224275839</v>
      </c>
      <c r="AA541" s="55">
        <f t="shared" si="67"/>
        <v>11380.670000000002</v>
      </c>
      <c r="AB541" s="55">
        <f t="shared" si="68"/>
        <v>-0.38000000000465661</v>
      </c>
      <c r="AC541" s="55">
        <f t="shared" si="73"/>
        <v>42518.078383561646</v>
      </c>
    </row>
    <row r="542" spans="1:29">
      <c r="A542" t="s">
        <v>183</v>
      </c>
      <c r="B542" s="16" t="str">
        <f>INDEX(emprunts!C:C,MATCH($A542,emprunts!A:A,0))</f>
        <v>CDC</v>
      </c>
      <c r="C542" s="18">
        <f>INDEX(emprunts!M:M,MATCH($A542,emprunts!$A:$A,0))</f>
        <v>38473</v>
      </c>
      <c r="D542" s="18">
        <f>IF(INDEX(emprunts!O:O,MATCH($A542,emprunts!$A:$A,0))="",INDEX(emprunts!N:N,MATCH($A542,emprunts!$A:$A,0)),MIN(INDEX(emprunts!N:N,MATCH($A542,emprunts!$A:$A,0)),INDEX(emprunts!O:O,MATCH($A542,emprunts!$A:$A,0))))</f>
        <v>40663</v>
      </c>
      <c r="E542" s="52">
        <f>INDEX(emprunts!I:I,MATCH($A542,emprunts!$A:$A,0))</f>
        <v>6</v>
      </c>
      <c r="F542" s="18" t="str">
        <f>INDEX(emprunts!P:P,MATCH($A542,emprunts!$A:$A,0))</f>
        <v>Variable</v>
      </c>
      <c r="G542" s="126" t="str">
        <f>IF(LEFT(A542,3)="vx_","vx",INDEX(Categorie,MATCH($A542,emprunts!$A$2:$A$149,0)))</f>
        <v>Non_st</v>
      </c>
      <c r="H542">
        <v>2010</v>
      </c>
      <c r="I542">
        <f t="shared" si="82"/>
        <v>1</v>
      </c>
      <c r="N542" s="14"/>
      <c r="O542" s="14"/>
      <c r="Q542" s="14"/>
      <c r="R542" s="14"/>
      <c r="S542" s="14"/>
      <c r="T542" s="14"/>
      <c r="U542" s="14"/>
      <c r="V542" s="14" t="str">
        <f t="shared" si="80"/>
        <v/>
      </c>
      <c r="X542" s="85">
        <f t="shared" si="84"/>
        <v>0</v>
      </c>
      <c r="Y542" s="21" t="str">
        <f t="shared" si="72"/>
        <v/>
      </c>
      <c r="AA542" s="55">
        <f t="shared" si="67"/>
        <v>0</v>
      </c>
      <c r="AB542" s="55">
        <f t="shared" si="68"/>
        <v>0</v>
      </c>
      <c r="AC542" s="55">
        <f t="shared" ref="AC542:AC594" si="85">MAX(0,(C542-DATE(H542,1,1))/365)*0+MAX(0,MIN(1,(MIN(DATE(H542,12,31),D542)-MAX(DATE(H542,1,1),C542))/365))*(O542+X542+R542/2)</f>
        <v>0</v>
      </c>
    </row>
    <row r="543" spans="1:29">
      <c r="A543" t="s">
        <v>185</v>
      </c>
      <c r="B543" s="16" t="str">
        <f>INDEX(emprunts!C:C,MATCH($A543,emprunts!A:A,0))</f>
        <v>CDC</v>
      </c>
      <c r="C543" s="18">
        <f>INDEX(emprunts!M:M,MATCH($A543,emprunts!$A:$A,0))</f>
        <v>38473</v>
      </c>
      <c r="D543" s="18">
        <f>IF(INDEX(emprunts!O:O,MATCH($A543,emprunts!$A:$A,0))="",INDEX(emprunts!N:N,MATCH($A543,emprunts!$A:$A,0)),MIN(INDEX(emprunts!N:N,MATCH($A543,emprunts!$A:$A,0)),INDEX(emprunts!O:O,MATCH($A543,emprunts!$A:$A,0))))</f>
        <v>41393</v>
      </c>
      <c r="E543" s="52">
        <f>INDEX(emprunts!I:I,MATCH($A543,emprunts!$A:$A,0))</f>
        <v>8</v>
      </c>
      <c r="F543" s="18" t="str">
        <f>INDEX(emprunts!P:P,MATCH($A543,emprunts!$A:$A,0))</f>
        <v>Variable</v>
      </c>
      <c r="G543" s="126" t="str">
        <f>IF(LEFT(A543,3)="vx_","vx",INDEX(Categorie,MATCH($A543,emprunts!$A$2:$A$149,0)))</f>
        <v>Non_st</v>
      </c>
      <c r="H543">
        <v>2010</v>
      </c>
      <c r="I543">
        <f t="shared" si="82"/>
        <v>1</v>
      </c>
      <c r="N543" s="14"/>
      <c r="O543" s="14">
        <v>1360714</v>
      </c>
      <c r="P543" s="4">
        <v>1.4062E-2</v>
      </c>
      <c r="Q543" s="14">
        <v>34145.86</v>
      </c>
      <c r="R543" s="14">
        <v>432582.79</v>
      </c>
      <c r="S543" s="14"/>
      <c r="T543" s="14">
        <v>22826.27</v>
      </c>
      <c r="U543" s="14">
        <f t="shared" ref="U543" si="86">SUM(Q543:S543)</f>
        <v>466728.64999999997</v>
      </c>
      <c r="V543" s="14">
        <f t="shared" si="80"/>
        <v>0</v>
      </c>
      <c r="X543" s="85">
        <f t="shared" si="84"/>
        <v>0</v>
      </c>
      <c r="Y543" s="21">
        <f t="shared" si="72"/>
        <v>2.1711826361692509E-2</v>
      </c>
      <c r="AA543" s="55">
        <f t="shared" si="67"/>
        <v>34145.86</v>
      </c>
      <c r="AB543" s="55">
        <f t="shared" si="68"/>
        <v>0.7900000000372529</v>
      </c>
      <c r="AC543" s="55">
        <f t="shared" si="85"/>
        <v>1572684.8322739727</v>
      </c>
    </row>
    <row r="544" spans="1:29">
      <c r="A544" t="s">
        <v>199</v>
      </c>
      <c r="B544" s="16" t="str">
        <f>INDEX(emprunts!C:C,MATCH($A544,emprunts!A:A,0))</f>
        <v>Dexia CL</v>
      </c>
      <c r="C544" s="18">
        <f>INDEX(emprunts!M:M,MATCH($A544,emprunts!$A:$A,0))</f>
        <v>38777</v>
      </c>
      <c r="D544" s="18">
        <f>IF(INDEX(emprunts!O:O,MATCH($A544,emprunts!$A:$A,0))="",INDEX(emprunts!N:N,MATCH($A544,emprunts!$A:$A,0)),MIN(INDEX(emprunts!N:N,MATCH($A544,emprunts!$A:$A,0)),INDEX(emprunts!O:O,MATCH($A544,emprunts!$A:$A,0))))</f>
        <v>40452</v>
      </c>
      <c r="E544" s="52">
        <f>INDEX(emprunts!I:I,MATCH($A544,emprunts!$A:$A,0))</f>
        <v>16.25</v>
      </c>
      <c r="F544" s="18" t="str">
        <f>INDEX(emprunts!P:P,MATCH($A544,emprunts!$A:$A,0))</f>
        <v>Change</v>
      </c>
      <c r="G544" s="126" t="str">
        <f>IF(LEFT(A544,3)="vx_","vx",INDEX(Categorie,MATCH($A544,emprunts!$A$2:$A$149,0)))</f>
        <v>Struct</v>
      </c>
      <c r="H544">
        <v>2010</v>
      </c>
      <c r="I544">
        <f t="shared" si="82"/>
        <v>1</v>
      </c>
      <c r="N544" s="14"/>
      <c r="O544" s="14">
        <v>0</v>
      </c>
      <c r="Q544" s="14">
        <v>277581.90000000002</v>
      </c>
      <c r="R544" s="14">
        <v>509496</v>
      </c>
      <c r="S544" s="14"/>
      <c r="T544" s="14">
        <v>132806.07</v>
      </c>
      <c r="U544" s="14">
        <f>SUM(Q544:T544)</f>
        <v>919883.97</v>
      </c>
      <c r="V544" s="14">
        <f t="shared" si="80"/>
        <v>132806.06999999995</v>
      </c>
      <c r="X544" s="85">
        <f t="shared" si="84"/>
        <v>7231000</v>
      </c>
      <c r="Y544" s="21">
        <f t="shared" si="72"/>
        <v>4.9577318061442832E-2</v>
      </c>
      <c r="AA544" s="55">
        <f t="shared" si="67"/>
        <v>277579.90000000002</v>
      </c>
      <c r="AB544" s="55">
        <f t="shared" si="68"/>
        <v>346</v>
      </c>
      <c r="AC544" s="55">
        <f t="shared" si="85"/>
        <v>5598929.3260273971</v>
      </c>
    </row>
    <row r="545" spans="1:29">
      <c r="A545" t="s">
        <v>204</v>
      </c>
      <c r="B545" s="16" t="str">
        <f>INDEX(emprunts!C:C,MATCH($A545,emprunts!A:A,0))</f>
        <v>Crédit Agricole</v>
      </c>
      <c r="C545" s="18">
        <f>INDEX(emprunts!M:M,MATCH($A545,emprunts!$A:$A,0))</f>
        <v>38782</v>
      </c>
      <c r="D545" s="18">
        <f>IF(INDEX(emprunts!O:O,MATCH($A545,emprunts!$A:$A,0))="",INDEX(emprunts!N:N,MATCH($A545,emprunts!$A:$A,0)),MIN(INDEX(emprunts!N:N,MATCH($A545,emprunts!$A:$A,0)),INDEX(emprunts!O:O,MATCH($A545,emprunts!$A:$A,0))))</f>
        <v>44257</v>
      </c>
      <c r="E545" s="52">
        <f>INDEX(emprunts!I:I,MATCH($A545,emprunts!$A:$A,0))</f>
        <v>15</v>
      </c>
      <c r="F545" s="18" t="str">
        <f>INDEX(emprunts!P:P,MATCH($A545,emprunts!$A:$A,0))</f>
        <v>Barrière</v>
      </c>
      <c r="G545" s="126" t="str">
        <f>IF(LEFT(A545,3)="vx_","vx",INDEX(Categorie,MATCH($A545,emprunts!$A$2:$A$149,0)))</f>
        <v>Struct</v>
      </c>
      <c r="H545">
        <v>2010</v>
      </c>
      <c r="I545">
        <f t="shared" si="82"/>
        <v>1</v>
      </c>
      <c r="N545" s="14"/>
      <c r="O545" s="14"/>
      <c r="Q545" s="14"/>
      <c r="R545" s="14"/>
      <c r="S545" s="14"/>
      <c r="T545" s="14"/>
      <c r="U545" s="14"/>
      <c r="V545" s="14" t="str">
        <f t="shared" si="80"/>
        <v/>
      </c>
      <c r="X545" s="85">
        <f t="shared" si="84"/>
        <v>0</v>
      </c>
      <c r="Y545" s="21" t="str">
        <f t="shared" si="72"/>
        <v/>
      </c>
      <c r="AA545" s="55">
        <f t="shared" si="67"/>
        <v>0</v>
      </c>
      <c r="AB545" s="55">
        <f t="shared" si="68"/>
        <v>0</v>
      </c>
      <c r="AC545" s="55">
        <f t="shared" si="85"/>
        <v>0</v>
      </c>
    </row>
    <row r="546" spans="1:29">
      <c r="A546" t="s">
        <v>207</v>
      </c>
      <c r="B546" s="16" t="str">
        <f>INDEX(emprunts!C:C,MATCH($A546,emprunts!A:A,0))</f>
        <v>Crédit Agricole</v>
      </c>
      <c r="C546" s="18">
        <f>INDEX(emprunts!M:M,MATCH($A546,emprunts!$A:$A,0))</f>
        <v>38782</v>
      </c>
      <c r="D546" s="18">
        <f>IF(INDEX(emprunts!O:O,MATCH($A546,emprunts!$A:$A,0))="",INDEX(emprunts!N:N,MATCH($A546,emprunts!$A:$A,0)),MIN(INDEX(emprunts!N:N,MATCH($A546,emprunts!$A:$A,0)),INDEX(emprunts!O:O,MATCH($A546,emprunts!$A:$A,0))))</f>
        <v>44261</v>
      </c>
      <c r="E546" s="52">
        <f>INDEX(emprunts!I:I,MATCH($A546,emprunts!$A:$A,0))</f>
        <v>15</v>
      </c>
      <c r="F546" s="18" t="str">
        <f>INDEX(emprunts!P:P,MATCH($A546,emprunts!$A:$A,0))</f>
        <v>Fixe</v>
      </c>
      <c r="G546" s="126" t="str">
        <f>IF(LEFT(A546,3)="vx_","vx",INDEX(Categorie,MATCH($A546,emprunts!$A$2:$A$149,0)))</f>
        <v>Non_st</v>
      </c>
      <c r="H546">
        <v>2010</v>
      </c>
      <c r="I546">
        <f t="shared" si="82"/>
        <v>1</v>
      </c>
      <c r="N546" s="14"/>
      <c r="O546" s="14">
        <v>3915502</v>
      </c>
      <c r="P546" s="4">
        <v>3.6200000000000003E-2</v>
      </c>
      <c r="Q546" s="14">
        <v>152085.44</v>
      </c>
      <c r="R546" s="14">
        <v>285753.06</v>
      </c>
      <c r="S546" s="14"/>
      <c r="T546" s="14">
        <v>120167.41</v>
      </c>
      <c r="U546" s="14">
        <f t="shared" ref="U546" si="87">SUM(Q546:S546)</f>
        <v>437838.5</v>
      </c>
      <c r="V546" s="14">
        <f t="shared" si="80"/>
        <v>0</v>
      </c>
      <c r="X546" s="85">
        <f t="shared" si="84"/>
        <v>0</v>
      </c>
      <c r="Y546" s="21">
        <f t="shared" si="72"/>
        <v>3.638291868352557E-2</v>
      </c>
      <c r="AA546" s="55">
        <f t="shared" si="67"/>
        <v>147251.12</v>
      </c>
      <c r="AB546" s="55">
        <f t="shared" si="68"/>
        <v>5.9999999590218067E-2</v>
      </c>
      <c r="AC546" s="55">
        <f t="shared" si="85"/>
        <v>4047259.6847123285</v>
      </c>
    </row>
    <row r="547" spans="1:29">
      <c r="A547" t="s">
        <v>211</v>
      </c>
      <c r="B547" s="16" t="str">
        <f>INDEX(emprunts!C:C,MATCH($A547,emprunts!A:A,0))</f>
        <v>Dexia CL</v>
      </c>
      <c r="C547" s="18">
        <f>INDEX(emprunts!M:M,MATCH($A547,emprunts!$A:$A,0))</f>
        <v>38899</v>
      </c>
      <c r="D547" s="18">
        <f>IF(INDEX(emprunts!O:O,MATCH($A547,emprunts!$A:$A,0))="",INDEX(emprunts!N:N,MATCH($A547,emprunts!$A:$A,0)),MIN(INDEX(emprunts!N:N,MATCH($A547,emprunts!$A:$A,0)),INDEX(emprunts!O:O,MATCH($A547,emprunts!$A:$A,0))))</f>
        <v>40737</v>
      </c>
      <c r="E547" s="52">
        <f>INDEX(emprunts!I:I,MATCH($A547,emprunts!$A:$A,0))</f>
        <v>20</v>
      </c>
      <c r="F547" s="18" t="str">
        <f>INDEX(emprunts!P:P,MATCH($A547,emprunts!$A:$A,0))</f>
        <v>Change</v>
      </c>
      <c r="G547" s="126" t="str">
        <f>IF(LEFT(A547,3)="vx_","vx",INDEX(Categorie,MATCH($A547,emprunts!$A$2:$A$149,0)))</f>
        <v>Struct</v>
      </c>
      <c r="H547">
        <v>2010</v>
      </c>
      <c r="I547">
        <f t="shared" si="82"/>
        <v>1</v>
      </c>
      <c r="N547" s="14"/>
      <c r="O547" s="14">
        <v>14683506</v>
      </c>
      <c r="P547" s="4">
        <v>7.4171000000000001E-2</v>
      </c>
      <c r="Q547" s="14">
        <v>610178.67000000004</v>
      </c>
      <c r="R547" s="14">
        <v>591114.71</v>
      </c>
      <c r="S547" s="14"/>
      <c r="T547" s="14">
        <v>190465.61</v>
      </c>
      <c r="U547" s="14">
        <f t="shared" ref="U547" si="88">SUM(Q547:S547)</f>
        <v>1201293.3799999999</v>
      </c>
      <c r="V547" s="14">
        <f t="shared" si="80"/>
        <v>0</v>
      </c>
      <c r="X547" s="85">
        <f t="shared" si="84"/>
        <v>0</v>
      </c>
      <c r="Y547" s="21">
        <f t="shared" ref="Y547:Y598" si="89">IF(AND(AA547&gt;0,YEAR(C547)&lt;=H547),AA547/AC547,"")</f>
        <v>3.3118105357773112E-2</v>
      </c>
      <c r="AA547" s="55">
        <f t="shared" si="67"/>
        <v>494719.08</v>
      </c>
      <c r="AB547" s="55">
        <f t="shared" si="68"/>
        <v>-0.28999999910593033</v>
      </c>
      <c r="AC547" s="55">
        <f t="shared" si="85"/>
        <v>14938024.825260274</v>
      </c>
    </row>
    <row r="548" spans="1:29">
      <c r="A548" t="s">
        <v>215</v>
      </c>
      <c r="B548" s="16" t="str">
        <f>INDEX(emprunts!C:C,MATCH($A548,emprunts!A:A,0))</f>
        <v>Dexia CL</v>
      </c>
      <c r="C548" s="18">
        <f>INDEX(emprunts!M:M,MATCH($A548,emprunts!$A:$A,0))</f>
        <v>38991</v>
      </c>
      <c r="D548" s="18">
        <f>IF(INDEX(emprunts!O:O,MATCH($A548,emprunts!$A:$A,0))="",INDEX(emprunts!N:N,MATCH($A548,emprunts!$A:$A,0)),MIN(INDEX(emprunts!N:N,MATCH($A548,emprunts!$A:$A,0)),INDEX(emprunts!O:O,MATCH($A548,emprunts!$A:$A,0))))</f>
        <v>40087</v>
      </c>
      <c r="E548" s="52">
        <f>INDEX(emprunts!I:I,MATCH($A548,emprunts!$A:$A,0))</f>
        <v>19</v>
      </c>
      <c r="F548" s="18" t="str">
        <f>INDEX(emprunts!P:P,MATCH($A548,emprunts!$A:$A,0))</f>
        <v>Change</v>
      </c>
      <c r="G548" s="126" t="str">
        <f>IF(LEFT(A548,3)="vx_","vx",INDEX(Categorie,MATCH($A548,emprunts!$A$2:$A$149,0)))</f>
        <v>Struct</v>
      </c>
      <c r="H548">
        <v>2010</v>
      </c>
      <c r="I548">
        <f t="shared" si="82"/>
        <v>1</v>
      </c>
      <c r="N548" s="14"/>
      <c r="O548" s="14"/>
      <c r="Q548" s="14"/>
      <c r="R548" s="14"/>
      <c r="S548" s="14"/>
      <c r="T548" s="14"/>
      <c r="U548" s="14"/>
      <c r="V548" s="14" t="str">
        <f t="shared" si="80"/>
        <v/>
      </c>
      <c r="X548" s="85">
        <f t="shared" si="84"/>
        <v>0</v>
      </c>
      <c r="Y548" s="21" t="str">
        <f t="shared" si="89"/>
        <v/>
      </c>
      <c r="AA548" s="55">
        <f t="shared" si="67"/>
        <v>-90730.74</v>
      </c>
      <c r="AB548" s="55">
        <f t="shared" si="68"/>
        <v>0</v>
      </c>
      <c r="AC548" s="55">
        <f t="shared" si="85"/>
        <v>0</v>
      </c>
    </row>
    <row r="549" spans="1:29">
      <c r="A549" t="s">
        <v>503</v>
      </c>
      <c r="B549" s="16" t="str">
        <f>INDEX(emprunts!C:C,MATCH($A549,emprunts!A:A,0))</f>
        <v>Société Générale</v>
      </c>
      <c r="C549" s="18">
        <f>INDEX(emprunts!M:M,MATCH($A549,emprunts!$A:$A,0))</f>
        <v>39356</v>
      </c>
      <c r="D549" s="18">
        <f>IF(INDEX(emprunts!O:O,MATCH($A549,emprunts!$A:$A,0))="",INDEX(emprunts!N:N,MATCH($A549,emprunts!$A:$A,0)),MIN(INDEX(emprunts!N:N,MATCH($A549,emprunts!$A:$A,0)),INDEX(emprunts!O:O,MATCH($A549,emprunts!$A:$A,0))))</f>
        <v>40513</v>
      </c>
      <c r="E549" s="52">
        <f>INDEX(emprunts!I:I,MATCH($A549,emprunts!$A:$A,0))</f>
        <v>20</v>
      </c>
      <c r="F549" s="18" t="str">
        <f>INDEX(emprunts!P:P,MATCH($A549,emprunts!$A:$A,0))</f>
        <v>Barrière avec multiplicateur</v>
      </c>
      <c r="G549" s="126" t="str">
        <f>IF(LEFT(A549,3)="vx_","vx",INDEX(Categorie,MATCH($A549,emprunts!$A$2:$A$149,0)))</f>
        <v>Struct</v>
      </c>
      <c r="H549">
        <v>2010</v>
      </c>
      <c r="I549">
        <f t="shared" si="82"/>
        <v>1</v>
      </c>
      <c r="N549" s="14"/>
      <c r="O549" s="14">
        <v>0</v>
      </c>
      <c r="Q549" s="14">
        <v>97204.4</v>
      </c>
      <c r="R549" s="14">
        <v>113324.7</v>
      </c>
      <c r="S549" s="14"/>
      <c r="T549" s="14">
        <v>7989.4</v>
      </c>
      <c r="U549" s="14">
        <f>SUM(Q549:T549)</f>
        <v>218518.49999999997</v>
      </c>
      <c r="V549" s="14">
        <f t="shared" si="80"/>
        <v>7989.3999999999942</v>
      </c>
      <c r="X549" s="85">
        <f t="shared" si="84"/>
        <v>2572000</v>
      </c>
      <c r="Y549" s="21">
        <f t="shared" si="89"/>
        <v>4.3732241383982087E-2</v>
      </c>
      <c r="AA549" s="55">
        <f t="shared" si="67"/>
        <v>105193.79999999999</v>
      </c>
      <c r="AB549" s="55">
        <f t="shared" si="68"/>
        <v>-189.29999999981374</v>
      </c>
      <c r="AC549" s="55">
        <f t="shared" si="85"/>
        <v>2405406.0956164384</v>
      </c>
    </row>
    <row r="550" spans="1:29">
      <c r="A550" t="s">
        <v>502</v>
      </c>
      <c r="B550" s="16" t="str">
        <f>INDEX(emprunts!C:C,MATCH($A550,emprunts!A:A,0))</f>
        <v>Société Générale</v>
      </c>
      <c r="C550" s="18">
        <f>INDEX(emprunts!M:M,MATCH($A550,emprunts!$A:$A,0))</f>
        <v>39356</v>
      </c>
      <c r="D550" s="18">
        <f>IF(INDEX(emprunts!O:O,MATCH($A550,emprunts!$A:$A,0))="",INDEX(emprunts!N:N,MATCH($A550,emprunts!$A:$A,0)),MIN(INDEX(emprunts!N:N,MATCH($A550,emprunts!$A:$A,0)),INDEX(emprunts!O:O,MATCH($A550,emprunts!$A:$A,0))))</f>
        <v>40452</v>
      </c>
      <c r="E550" s="52">
        <f>INDEX(emprunts!I:I,MATCH($A550,emprunts!$A:$A,0))</f>
        <v>20.079999999999998</v>
      </c>
      <c r="F550" s="18" t="str">
        <f>INDEX(emprunts!P:P,MATCH($A550,emprunts!$A:$A,0))</f>
        <v>Écart d'inflation</v>
      </c>
      <c r="G550" s="126" t="str">
        <f>IF(LEFT(A550,3)="vx_","vx",INDEX(Categorie,MATCH($A550,emprunts!$A$2:$A$149,0)))</f>
        <v>Struct</v>
      </c>
      <c r="H550">
        <v>2010</v>
      </c>
      <c r="I550">
        <f t="shared" si="82"/>
        <v>1</v>
      </c>
      <c r="N550" s="14"/>
      <c r="O550" s="14">
        <v>0</v>
      </c>
      <c r="Q550" s="14">
        <v>155831.04999999999</v>
      </c>
      <c r="R550" s="14">
        <v>181610.1</v>
      </c>
      <c r="S550" s="14"/>
      <c r="T550" s="14">
        <v>135384.5</v>
      </c>
      <c r="U550" s="14">
        <f>SUM(Q550:T550)</f>
        <v>472825.65</v>
      </c>
      <c r="V550" s="14">
        <f t="shared" si="80"/>
        <v>135384.5</v>
      </c>
      <c r="X550" s="85">
        <f t="shared" si="84"/>
        <v>4476000</v>
      </c>
      <c r="Y550" s="21">
        <f t="shared" si="89"/>
        <v>8.5257443522003123E-2</v>
      </c>
      <c r="Z550" t="s">
        <v>645</v>
      </c>
      <c r="AA550" s="55">
        <f t="shared" si="67"/>
        <v>291215.55</v>
      </c>
      <c r="AB550" s="55">
        <f t="shared" si="68"/>
        <v>144.09999999962747</v>
      </c>
      <c r="AC550" s="55">
        <f t="shared" si="85"/>
        <v>3415719.9415068491</v>
      </c>
    </row>
    <row r="551" spans="1:29">
      <c r="A551" t="s">
        <v>223</v>
      </c>
      <c r="B551" s="16" t="str">
        <f>INDEX(emprunts!C:C,MATCH($A551,emprunts!A:A,0))</f>
        <v>Crédit Agricole</v>
      </c>
      <c r="C551" s="18">
        <f>INDEX(emprunts!M:M,MATCH($A551,emprunts!$A:$A,0))</f>
        <v>39182</v>
      </c>
      <c r="D551" s="18">
        <f>IF(INDEX(emprunts!O:O,MATCH($A551,emprunts!$A:$A,0))="",INDEX(emprunts!N:N,MATCH($A551,emprunts!$A:$A,0)),MIN(INDEX(emprunts!N:N,MATCH($A551,emprunts!$A:$A,0)),INDEX(emprunts!O:O,MATCH($A551,emprunts!$A:$A,0))))</f>
        <v>46813</v>
      </c>
      <c r="E551" s="52">
        <f>INDEX(emprunts!I:I,MATCH($A551,emprunts!$A:$A,0))</f>
        <v>20</v>
      </c>
      <c r="F551" s="18" t="str">
        <f>INDEX(emprunts!P:P,MATCH($A551,emprunts!$A:$A,0))</f>
        <v>Pente</v>
      </c>
      <c r="G551" s="126" t="str">
        <f>IF(LEFT(A551,3)="vx_","vx",INDEX(Categorie,MATCH($A551,emprunts!$A$2:$A$149,0)))</f>
        <v>Struct</v>
      </c>
      <c r="H551">
        <v>2010</v>
      </c>
      <c r="I551">
        <f t="shared" si="82"/>
        <v>1</v>
      </c>
      <c r="N551" s="14">
        <v>5000000</v>
      </c>
      <c r="O551" s="14">
        <v>4538520</v>
      </c>
      <c r="P551" s="4">
        <v>5.5183000000000003E-2</v>
      </c>
      <c r="Q551" s="14">
        <v>220315.94</v>
      </c>
      <c r="R551" s="14">
        <v>174122.79</v>
      </c>
      <c r="S551" s="14"/>
      <c r="T551" s="14">
        <v>16297.89</v>
      </c>
      <c r="U551" s="14">
        <f t="shared" ref="U551" si="90">SUM(Q551:S551)</f>
        <v>394438.73</v>
      </c>
      <c r="V551" s="14">
        <f t="shared" si="80"/>
        <v>0</v>
      </c>
      <c r="X551" s="85">
        <f t="shared" si="84"/>
        <v>0</v>
      </c>
      <c r="Y551" s="21">
        <f t="shared" si="89"/>
        <v>4.8314120397955185E-2</v>
      </c>
      <c r="AA551" s="55">
        <f t="shared" si="67"/>
        <v>222868.62000000002</v>
      </c>
      <c r="AB551" s="55">
        <f t="shared" si="68"/>
        <v>-0.2099999999627471</v>
      </c>
      <c r="AC551" s="55">
        <f t="shared" si="85"/>
        <v>4612908.5692602731</v>
      </c>
    </row>
    <row r="552" spans="1:29">
      <c r="A552" t="s">
        <v>225</v>
      </c>
      <c r="B552" s="16" t="str">
        <f>INDEX(emprunts!C:C,MATCH($A552,emprunts!A:A,0))</f>
        <v>Dexia CL</v>
      </c>
      <c r="C552" s="18">
        <f>INDEX(emprunts!M:M,MATCH($A552,emprunts!$A:$A,0))</f>
        <v>39539</v>
      </c>
      <c r="D552" s="18">
        <f>IF(INDEX(emprunts!O:O,MATCH($A552,emprunts!$A:$A,0))="",INDEX(emprunts!N:N,MATCH($A552,emprunts!$A:$A,0)),MIN(INDEX(emprunts!N:N,MATCH($A552,emprunts!$A:$A,0)),INDEX(emprunts!O:O,MATCH($A552,emprunts!$A:$A,0))))</f>
        <v>40118</v>
      </c>
      <c r="E552" s="52">
        <f>INDEX(emprunts!I:I,MATCH($A552,emprunts!$A:$A,0))</f>
        <v>25.67</v>
      </c>
      <c r="F552" s="18" t="str">
        <f>INDEX(emprunts!P:P,MATCH($A552,emprunts!$A:$A,0))</f>
        <v>Pente</v>
      </c>
      <c r="G552" s="126" t="str">
        <f>IF(LEFT(A552,3)="vx_","vx",INDEX(Categorie,MATCH($A552,emprunts!$A$2:$A$149,0)))</f>
        <v>Struct</v>
      </c>
      <c r="H552">
        <v>2010</v>
      </c>
      <c r="I552">
        <f t="shared" si="82"/>
        <v>1</v>
      </c>
      <c r="N552" s="14"/>
      <c r="O552" s="14"/>
      <c r="Q552" s="14"/>
      <c r="R552" s="14"/>
      <c r="S552" s="14"/>
      <c r="T552" s="14"/>
      <c r="U552" s="14"/>
      <c r="V552" s="14" t="str">
        <f t="shared" si="80"/>
        <v/>
      </c>
      <c r="X552" s="85">
        <f t="shared" si="84"/>
        <v>0</v>
      </c>
      <c r="Y552" s="21" t="str">
        <f t="shared" si="89"/>
        <v/>
      </c>
      <c r="AA552" s="55">
        <f t="shared" si="67"/>
        <v>-80324.89</v>
      </c>
      <c r="AB552" s="55">
        <f t="shared" si="68"/>
        <v>0</v>
      </c>
      <c r="AC552" s="55">
        <f t="shared" si="85"/>
        <v>0</v>
      </c>
    </row>
    <row r="553" spans="1:29">
      <c r="A553" t="s">
        <v>227</v>
      </c>
      <c r="B553" s="16" t="str">
        <f>INDEX(emprunts!C:C,MATCH($A553,emprunts!A:A,0))</f>
        <v>Dexia CL</v>
      </c>
      <c r="C553" s="18">
        <f>INDEX(emprunts!M:M,MATCH($A553,emprunts!$A:$A,0))</f>
        <v>39203</v>
      </c>
      <c r="D553" s="18">
        <f>IF(INDEX(emprunts!O:O,MATCH($A553,emprunts!$A:$A,0))="",INDEX(emprunts!N:N,MATCH($A553,emprunts!$A:$A,0)),MIN(INDEX(emprunts!N:N,MATCH($A553,emprunts!$A:$A,0)),INDEX(emprunts!O:O,MATCH($A553,emprunts!$A:$A,0))))</f>
        <v>40176</v>
      </c>
      <c r="E553" s="52">
        <f>INDEX(emprunts!I:I,MATCH($A553,emprunts!$A:$A,0))</f>
        <v>17</v>
      </c>
      <c r="F553" s="18" t="str">
        <f>INDEX(emprunts!P:P,MATCH($A553,emprunts!$A:$A,0))</f>
        <v>Courbes</v>
      </c>
      <c r="G553" s="126" t="str">
        <f>IF(LEFT(A553,3)="vx_","vx",INDEX(Categorie,MATCH($A553,emprunts!$A$2:$A$149,0)))</f>
        <v>Struct</v>
      </c>
      <c r="H553">
        <v>2010</v>
      </c>
      <c r="I553">
        <f t="shared" si="82"/>
        <v>1</v>
      </c>
      <c r="N553" s="14"/>
      <c r="O553" s="14"/>
      <c r="Q553" s="14"/>
      <c r="R553" s="14"/>
      <c r="S553" s="14"/>
      <c r="T553" s="14"/>
      <c r="U553" s="14"/>
      <c r="V553" s="14" t="str">
        <f t="shared" si="80"/>
        <v/>
      </c>
      <c r="X553" s="85">
        <f t="shared" si="84"/>
        <v>0</v>
      </c>
      <c r="Y553" s="21" t="str">
        <f t="shared" si="89"/>
        <v/>
      </c>
      <c r="AA553" s="55">
        <f t="shared" si="67"/>
        <v>-405143.8</v>
      </c>
      <c r="AB553" s="55">
        <f t="shared" si="68"/>
        <v>0</v>
      </c>
      <c r="AC553" s="55">
        <f t="shared" si="85"/>
        <v>0</v>
      </c>
    </row>
    <row r="554" spans="1:29">
      <c r="A554" t="s">
        <v>231</v>
      </c>
      <c r="B554" s="16" t="str">
        <f>INDEX(emprunts!C:C,MATCH($A554,emprunts!A:A,0))</f>
        <v>Dexia CL</v>
      </c>
      <c r="C554" s="18">
        <f>INDEX(emprunts!M:M,MATCH($A554,emprunts!$A:$A,0))</f>
        <v>39203</v>
      </c>
      <c r="D554" s="18">
        <f>IF(INDEX(emprunts!O:O,MATCH($A554,emprunts!$A:$A,0))="",INDEX(emprunts!N:N,MATCH($A554,emprunts!$A:$A,0)),MIN(INDEX(emprunts!N:N,MATCH($A554,emprunts!$A:$A,0)),INDEX(emprunts!O:O,MATCH($A554,emprunts!$A:$A,0))))</f>
        <v>40176</v>
      </c>
      <c r="E554" s="52">
        <f>INDEX(emprunts!I:I,MATCH($A554,emprunts!$A:$A,0))</f>
        <v>16.920000000000002</v>
      </c>
      <c r="F554" s="18" t="str">
        <f>INDEX(emprunts!P:P,MATCH($A554,emprunts!$A:$A,0))</f>
        <v>Écart d'inflation</v>
      </c>
      <c r="G554" s="126" t="str">
        <f>IF(LEFT(A554,3)="vx_","vx",INDEX(Categorie,MATCH($A554,emprunts!$A$2:$A$149,0)))</f>
        <v>Struct</v>
      </c>
      <c r="H554">
        <v>2010</v>
      </c>
      <c r="I554">
        <f t="shared" si="82"/>
        <v>1</v>
      </c>
      <c r="N554" s="14"/>
      <c r="O554" s="14"/>
      <c r="Q554" s="14"/>
      <c r="R554" s="14"/>
      <c r="S554" s="14"/>
      <c r="T554" s="14"/>
      <c r="U554" s="14"/>
      <c r="V554" s="14" t="str">
        <f t="shared" si="80"/>
        <v/>
      </c>
      <c r="X554" s="85">
        <f t="shared" si="84"/>
        <v>0</v>
      </c>
      <c r="Y554" s="21" t="str">
        <f t="shared" si="89"/>
        <v/>
      </c>
      <c r="AA554" s="55">
        <f t="shared" si="67"/>
        <v>-462100.38</v>
      </c>
      <c r="AB554" s="55">
        <f t="shared" si="68"/>
        <v>0</v>
      </c>
      <c r="AC554" s="55">
        <f t="shared" si="85"/>
        <v>0</v>
      </c>
    </row>
    <row r="555" spans="1:29">
      <c r="A555" t="s">
        <v>233</v>
      </c>
      <c r="B555" s="16" t="str">
        <f>INDEX(emprunts!C:C,MATCH($A555,emprunts!A:A,0))</f>
        <v>Société Générale</v>
      </c>
      <c r="C555" s="18">
        <f>INDEX(emprunts!M:M,MATCH($A555,emprunts!$A:$A,0))</f>
        <v>39226</v>
      </c>
      <c r="D555" s="18">
        <f>IF(INDEX(emprunts!O:O,MATCH($A555,emprunts!$A:$A,0))="",INDEX(emprunts!N:N,MATCH($A555,emprunts!$A:$A,0)),MIN(INDEX(emprunts!N:N,MATCH($A555,emprunts!$A:$A,0)),INDEX(emprunts!O:O,MATCH($A555,emprunts!$A:$A,0))))</f>
        <v>39904</v>
      </c>
      <c r="E555" s="52">
        <f>INDEX(emprunts!I:I,MATCH($A555,emprunts!$A:$A,0))</f>
        <v>19</v>
      </c>
      <c r="F555" s="18" t="str">
        <f>INDEX(emprunts!P:P,MATCH($A555,emprunts!$A:$A,0))</f>
        <v>Change</v>
      </c>
      <c r="G555" s="126" t="str">
        <f>IF(LEFT(A555,3)="vx_","vx",INDEX(Categorie,MATCH($A555,emprunts!$A$2:$A$149,0)))</f>
        <v>Struct</v>
      </c>
      <c r="H555">
        <v>2010</v>
      </c>
      <c r="I555">
        <f t="shared" si="82"/>
        <v>1</v>
      </c>
      <c r="N555" s="14"/>
      <c r="O555" s="14"/>
      <c r="Q555" s="14"/>
      <c r="R555" s="14"/>
      <c r="S555" s="14"/>
      <c r="T555" s="14"/>
      <c r="U555" s="14"/>
      <c r="V555" s="14" t="str">
        <f t="shared" si="80"/>
        <v/>
      </c>
      <c r="X555" s="85">
        <f t="shared" si="84"/>
        <v>0</v>
      </c>
      <c r="Y555" s="21" t="str">
        <f t="shared" si="89"/>
        <v/>
      </c>
      <c r="AA555" s="55">
        <f t="shared" si="67"/>
        <v>0</v>
      </c>
      <c r="AB555" s="55">
        <f t="shared" si="68"/>
        <v>0</v>
      </c>
      <c r="AC555" s="55">
        <f t="shared" si="85"/>
        <v>0</v>
      </c>
    </row>
    <row r="556" spans="1:29">
      <c r="A556" t="s">
        <v>235</v>
      </c>
      <c r="B556" s="16" t="str">
        <f>INDEX(emprunts!C:C,MATCH($A556,emprunts!A:A,0))</f>
        <v>Caisse d'Épargne</v>
      </c>
      <c r="C556" s="18">
        <f>INDEX(emprunts!M:M,MATCH($A556,emprunts!$A:$A,0))</f>
        <v>39288</v>
      </c>
      <c r="D556" s="18">
        <f>IF(INDEX(emprunts!O:O,MATCH($A556,emprunts!$A:$A,0))="",INDEX(emprunts!N:N,MATCH($A556,emprunts!$A:$A,0)),MIN(INDEX(emprunts!N:N,MATCH($A556,emprunts!$A:$A,0)),INDEX(emprunts!O:O,MATCH($A556,emprunts!$A:$A,0))))</f>
        <v>40964</v>
      </c>
      <c r="E556" s="52">
        <f>INDEX(emprunts!I:I,MATCH($A556,emprunts!$A:$A,0))</f>
        <v>18.579999999999998</v>
      </c>
      <c r="F556" s="18" t="str">
        <f>INDEX(emprunts!P:P,MATCH($A556,emprunts!$A:$A,0))</f>
        <v>Courbes</v>
      </c>
      <c r="G556" s="126" t="str">
        <f>IF(LEFT(A556,3)="vx_","vx",INDEX(Categorie,MATCH($A556,emprunts!$A$2:$A$149,0)))</f>
        <v>Struct</v>
      </c>
      <c r="H556">
        <v>2010</v>
      </c>
      <c r="I556">
        <f t="shared" si="82"/>
        <v>1</v>
      </c>
      <c r="N556" s="14"/>
      <c r="O556" s="14">
        <v>12864744</v>
      </c>
      <c r="P556" s="4">
        <v>2.2321000000000001E-2</v>
      </c>
      <c r="Q556" s="14">
        <v>303238.65999999997</v>
      </c>
      <c r="R556" s="14">
        <v>730024.06</v>
      </c>
      <c r="S556" s="14"/>
      <c r="T556" s="14">
        <v>256714.54</v>
      </c>
      <c r="U556" s="14">
        <f t="shared" ref="U556:U557" si="91">SUM(Q556:S556)</f>
        <v>1033262.72</v>
      </c>
      <c r="V556" s="14">
        <f t="shared" si="80"/>
        <v>0</v>
      </c>
      <c r="X556" s="85">
        <f t="shared" si="84"/>
        <v>0</v>
      </c>
      <c r="Y556" s="21">
        <f t="shared" si="89"/>
        <v>4.2441563676139306E-2</v>
      </c>
      <c r="AA556" s="55">
        <f t="shared" si="67"/>
        <v>559953.19999999995</v>
      </c>
      <c r="AB556" s="55">
        <f t="shared" si="68"/>
        <v>6.0000000521540642E-2</v>
      </c>
      <c r="AC556" s="55">
        <f t="shared" si="85"/>
        <v>13193510.123068493</v>
      </c>
    </row>
    <row r="557" spans="1:29">
      <c r="A557" t="s">
        <v>239</v>
      </c>
      <c r="B557" s="16" t="str">
        <f>INDEX(emprunts!C:C,MATCH($A557,emprunts!A:A,0))</f>
        <v>Dexia CL</v>
      </c>
      <c r="C557" s="18">
        <f>INDEX(emprunts!M:M,MATCH($A557,emprunts!$A:$A,0))</f>
        <v>39324</v>
      </c>
      <c r="D557" s="18">
        <f>IF(INDEX(emprunts!O:O,MATCH($A557,emprunts!$A:$A,0))="",INDEX(emprunts!N:N,MATCH($A557,emprunts!$A:$A,0)),MIN(INDEX(emprunts!N:N,MATCH($A557,emprunts!$A:$A,0)),INDEX(emprunts!O:O,MATCH($A557,emprunts!$A:$A,0))))</f>
        <v>40634</v>
      </c>
      <c r="E557" s="52">
        <f>INDEX(emprunts!I:I,MATCH($A557,emprunts!$A:$A,0))</f>
        <v>25</v>
      </c>
      <c r="F557" s="18" t="str">
        <f>INDEX(emprunts!P:P,MATCH($A557,emprunts!$A:$A,0))</f>
        <v>Courbes</v>
      </c>
      <c r="G557" s="126" t="str">
        <f>IF(LEFT(A557,3)="vx_","vx",INDEX(Categorie,MATCH($A557,emprunts!$A$2:$A$149,0)))</f>
        <v>Struct</v>
      </c>
      <c r="H557">
        <v>2010</v>
      </c>
      <c r="I557">
        <f t="shared" si="82"/>
        <v>1</v>
      </c>
      <c r="N557" s="14"/>
      <c r="O557" s="14">
        <v>13371419</v>
      </c>
      <c r="P557" s="4">
        <v>3.3480999999999997E-2</v>
      </c>
      <c r="Q557" s="14">
        <v>301982.44</v>
      </c>
      <c r="R557" s="14">
        <v>481868.82</v>
      </c>
      <c r="S557" s="14"/>
      <c r="T557" s="14">
        <v>226693.67</v>
      </c>
      <c r="U557" s="14">
        <f t="shared" si="91"/>
        <v>783851.26</v>
      </c>
      <c r="V557" s="14">
        <f t="shared" si="80"/>
        <v>0</v>
      </c>
      <c r="X557" s="85">
        <f t="shared" si="84"/>
        <v>0</v>
      </c>
      <c r="Y557" s="21">
        <f t="shared" si="89"/>
        <v>3.894466305188328E-2</v>
      </c>
      <c r="AA557" s="55">
        <f t="shared" si="67"/>
        <v>528676.11</v>
      </c>
      <c r="AB557" s="55">
        <f t="shared" si="68"/>
        <v>-0.17999999970197678</v>
      </c>
      <c r="AC557" s="55">
        <f t="shared" si="85"/>
        <v>13575059.291068494</v>
      </c>
    </row>
    <row r="558" spans="1:29">
      <c r="A558" t="s">
        <v>504</v>
      </c>
      <c r="B558" s="16" t="str">
        <f>INDEX(emprunts!C:C,MATCH($A558,emprunts!A:A,0))</f>
        <v>Société Générale</v>
      </c>
      <c r="C558" s="18">
        <f>INDEX(emprunts!M:M,MATCH($A558,emprunts!$A:$A,0))</f>
        <v>39356</v>
      </c>
      <c r="D558" s="18">
        <f>IF(INDEX(emprunts!O:O,MATCH($A558,emprunts!$A:$A,0))="",INDEX(emprunts!N:N,MATCH($A558,emprunts!$A:$A,0)),MIN(INDEX(emprunts!N:N,MATCH($A558,emprunts!$A:$A,0)),INDEX(emprunts!O:O,MATCH($A558,emprunts!$A:$A,0))))</f>
        <v>40422</v>
      </c>
      <c r="E558" s="52">
        <f>INDEX(emprunts!I:I,MATCH($A558,emprunts!$A:$A,0))</f>
        <v>20</v>
      </c>
      <c r="F558" s="18" t="str">
        <f>INDEX(emprunts!P:P,MATCH($A558,emprunts!$A:$A,0))</f>
        <v>Courbes</v>
      </c>
      <c r="G558" s="126" t="str">
        <f>IF(LEFT(A558,3)="vx_","vx",INDEX(Categorie,MATCH($A558,emprunts!$A$2:$A$149,0)))</f>
        <v>Struct</v>
      </c>
      <c r="H558">
        <v>2010</v>
      </c>
      <c r="I558">
        <f t="shared" si="82"/>
        <v>1</v>
      </c>
      <c r="N558" s="14">
        <v>2000000</v>
      </c>
      <c r="O558" s="14">
        <v>0</v>
      </c>
      <c r="Q558" s="14">
        <v>68943.44</v>
      </c>
      <c r="R558" s="14">
        <v>72644.039999999994</v>
      </c>
      <c r="S558" s="14"/>
      <c r="T558" s="14">
        <v>22855.22</v>
      </c>
      <c r="U558" s="14">
        <f>SUM(Q558:T558)</f>
        <v>164442.69999999998</v>
      </c>
      <c r="V558" s="14">
        <f t="shared" si="80"/>
        <v>22855.22</v>
      </c>
      <c r="X558" s="85">
        <f t="shared" si="84"/>
        <v>1790000</v>
      </c>
      <c r="Y558" s="21">
        <f t="shared" si="89"/>
        <v>7.5499761061681353E-2</v>
      </c>
      <c r="AA558" s="55">
        <f t="shared" si="67"/>
        <v>91798.66</v>
      </c>
      <c r="AB558" s="55">
        <f t="shared" si="68"/>
        <v>-341.95999999996275</v>
      </c>
      <c r="AC558" s="55">
        <f t="shared" si="85"/>
        <v>1215880.1393424659</v>
      </c>
    </row>
    <row r="559" spans="1:29">
      <c r="A559" t="s">
        <v>246</v>
      </c>
      <c r="B559" s="16" t="str">
        <f>INDEX(emprunts!C:C,MATCH($A559,emprunts!A:A,0))</f>
        <v>Dexia CL</v>
      </c>
      <c r="C559" s="18">
        <f>INDEX(emprunts!M:M,MATCH($A559,emprunts!$A:$A,0))</f>
        <v>39350</v>
      </c>
      <c r="D559" s="18">
        <f>IF(INDEX(emprunts!O:O,MATCH($A559,emprunts!$A:$A,0))="",INDEX(emprunts!N:N,MATCH($A559,emprunts!$A:$A,0)),MIN(INDEX(emprunts!N:N,MATCH($A559,emprunts!$A:$A,0)),INDEX(emprunts!O:O,MATCH($A559,emprunts!$A:$A,0))))</f>
        <v>40179</v>
      </c>
      <c r="E559" s="52">
        <f>INDEX(emprunts!I:I,MATCH($A559,emprunts!$A:$A,0))</f>
        <v>25.42</v>
      </c>
      <c r="F559" s="18" t="str">
        <f>INDEX(emprunts!P:P,MATCH($A559,emprunts!$A:$A,0))</f>
        <v>Barrière avec multiplicateur</v>
      </c>
      <c r="G559" s="126" t="str">
        <f>IF(LEFT(A559,3)="vx_","vx",INDEX(Categorie,MATCH($A559,emprunts!$A$2:$A$149,0)))</f>
        <v>Struct</v>
      </c>
      <c r="H559">
        <v>2010</v>
      </c>
      <c r="I559">
        <f t="shared" si="82"/>
        <v>1</v>
      </c>
      <c r="N559" s="14"/>
      <c r="O559" s="14">
        <v>0</v>
      </c>
      <c r="Q559" s="14">
        <v>290827.71000000002</v>
      </c>
      <c r="R559" s="14">
        <v>444745.83</v>
      </c>
      <c r="S559" s="14"/>
      <c r="T559" s="14">
        <v>290030.92</v>
      </c>
      <c r="U559" s="14">
        <f>SUM(Q559:T559)</f>
        <v>1025604.46</v>
      </c>
      <c r="V559" s="14">
        <f t="shared" si="80"/>
        <v>290030.91999999993</v>
      </c>
      <c r="X559" s="85">
        <f t="shared" si="84"/>
        <v>9800000</v>
      </c>
      <c r="Y559" s="21" t="e">
        <f t="shared" si="89"/>
        <v>#DIV/0!</v>
      </c>
      <c r="AA559" s="55">
        <f t="shared" si="67"/>
        <v>580858.63</v>
      </c>
      <c r="AB559" s="55">
        <f t="shared" si="68"/>
        <v>325.83000000007451</v>
      </c>
      <c r="AC559" s="55">
        <f t="shared" si="85"/>
        <v>0</v>
      </c>
    </row>
    <row r="560" spans="1:29">
      <c r="A560" t="s">
        <v>250</v>
      </c>
      <c r="B560" s="16" t="str">
        <f>INDEX(emprunts!C:C,MATCH($A560,emprunts!A:A,0))</f>
        <v>Caisse d'Épargne</v>
      </c>
      <c r="C560" s="18">
        <f>INDEX(emprunts!M:M,MATCH($A560,emprunts!$A:$A,0))</f>
        <v>39447</v>
      </c>
      <c r="D560" s="18">
        <f>IF(INDEX(emprunts!O:O,MATCH($A560,emprunts!$A:$A,0))="",INDEX(emprunts!N:N,MATCH($A560,emprunts!$A:$A,0)),MIN(INDEX(emprunts!N:N,MATCH($A560,emprunts!$A:$A,0)),INDEX(emprunts!O:O,MATCH($A560,emprunts!$A:$A,0))))</f>
        <v>41330</v>
      </c>
      <c r="E560" s="52">
        <f>INDEX(emprunts!I:I,MATCH($A560,emprunts!$A:$A,0))</f>
        <v>20</v>
      </c>
      <c r="F560" s="18" t="str">
        <f>INDEX(emprunts!P:P,MATCH($A560,emprunts!$A:$A,0))</f>
        <v>Courbes</v>
      </c>
      <c r="G560" s="126" t="str">
        <f>IF(LEFT(A560,3)="vx_","vx",INDEX(Categorie,MATCH($A560,emprunts!$A$2:$A$149,0)))</f>
        <v>Struct</v>
      </c>
      <c r="H560">
        <v>2010</v>
      </c>
      <c r="I560">
        <f t="shared" si="82"/>
        <v>1</v>
      </c>
      <c r="N560" s="14"/>
      <c r="O560" s="14">
        <v>4640201</v>
      </c>
      <c r="P560" s="4">
        <v>2.2321000000000001E-2</v>
      </c>
      <c r="Q560" s="14">
        <v>107584.04</v>
      </c>
      <c r="R560" s="14">
        <v>182993.57</v>
      </c>
      <c r="S560" s="14"/>
      <c r="T560" s="14">
        <v>91078</v>
      </c>
      <c r="U560" s="14">
        <f t="shared" ref="U560:U564" si="92">SUM(Q560:S560)</f>
        <v>290577.61</v>
      </c>
      <c r="V560" s="14">
        <f t="shared" si="80"/>
        <v>0</v>
      </c>
      <c r="X560" s="85">
        <f t="shared" si="84"/>
        <v>0</v>
      </c>
      <c r="Y560" s="21">
        <f t="shared" si="89"/>
        <v>4.2100705473345192E-2</v>
      </c>
      <c r="AA560" s="55">
        <f t="shared" si="67"/>
        <v>198662.03999999998</v>
      </c>
      <c r="AB560" s="55">
        <f t="shared" si="68"/>
        <v>-0.42999999970197678</v>
      </c>
      <c r="AC560" s="55">
        <f t="shared" si="85"/>
        <v>4718734.2294246573</v>
      </c>
    </row>
    <row r="561" spans="1:29">
      <c r="A561" t="s">
        <v>251</v>
      </c>
      <c r="B561" s="16" t="str">
        <f>INDEX(emprunts!C:C,MATCH($A561,emprunts!A:A,0))</f>
        <v>Dexia CL</v>
      </c>
      <c r="C561" s="18">
        <f>INDEX(emprunts!M:M,MATCH($A561,emprunts!$A:$A,0))</f>
        <v>40148</v>
      </c>
      <c r="D561" s="18">
        <f>IF(INDEX(emprunts!O:O,MATCH($A561,emprunts!$A:$A,0))="",INDEX(emprunts!N:N,MATCH($A561,emprunts!$A:$A,0)),MIN(INDEX(emprunts!N:N,MATCH($A561,emprunts!$A:$A,0)),INDEX(emprunts!O:O,MATCH($A561,emprunts!$A:$A,0))))</f>
        <v>41030</v>
      </c>
      <c r="E561" s="52">
        <f>INDEX(emprunts!I:I,MATCH($A561,emprunts!$A:$A,0))</f>
        <v>20.83</v>
      </c>
      <c r="F561" s="18" t="str">
        <f>INDEX(emprunts!P:P,MATCH($A561,emprunts!$A:$A,0))</f>
        <v>Change</v>
      </c>
      <c r="G561" s="126" t="str">
        <f>IF(LEFT(A561,3)="vx_","vx",INDEX(Categorie,MATCH($A561,emprunts!$A$2:$A$149,0)))</f>
        <v>Struct</v>
      </c>
      <c r="H561">
        <v>2010</v>
      </c>
      <c r="I561">
        <f t="shared" si="82"/>
        <v>1</v>
      </c>
      <c r="N561" s="14"/>
      <c r="O561" s="14">
        <v>15028637</v>
      </c>
      <c r="P561" s="4">
        <v>2.7394000000000002E-2</v>
      </c>
      <c r="Q561" s="14">
        <v>425371.39</v>
      </c>
      <c r="R561" s="14">
        <v>510043.41</v>
      </c>
      <c r="S561" s="14"/>
      <c r="T561" s="14">
        <v>264357.86</v>
      </c>
      <c r="U561" s="14">
        <f t="shared" si="92"/>
        <v>935414.8</v>
      </c>
      <c r="V561" s="14">
        <f t="shared" si="80"/>
        <v>0</v>
      </c>
      <c r="X561" s="85">
        <f t="shared" si="84"/>
        <v>0</v>
      </c>
      <c r="Y561" s="21">
        <f t="shared" si="89"/>
        <v>2.6596056318102343E-2</v>
      </c>
      <c r="AA561" s="55">
        <f t="shared" si="67"/>
        <v>405371.39</v>
      </c>
      <c r="AB561" s="55">
        <f t="shared" si="68"/>
        <v>-0.58999999985098839</v>
      </c>
      <c r="AC561" s="55">
        <f t="shared" si="85"/>
        <v>15241785.667452056</v>
      </c>
    </row>
    <row r="562" spans="1:29">
      <c r="A562" t="s">
        <v>253</v>
      </c>
      <c r="B562" s="16" t="str">
        <f>INDEX(emprunts!C:C,MATCH($A562,emprunts!A:A,0))</f>
        <v>Dexia CL</v>
      </c>
      <c r="C562" s="18">
        <f>INDEX(emprunts!M:M,MATCH($A562,emprunts!$A:$A,0))</f>
        <v>40176</v>
      </c>
      <c r="D562" s="18">
        <f>IF(INDEX(emprunts!O:O,MATCH($A562,emprunts!$A:$A,0))="",INDEX(emprunts!N:N,MATCH($A562,emprunts!$A:$A,0)),MIN(INDEX(emprunts!N:N,MATCH($A562,emprunts!$A:$A,0)),INDEX(emprunts!O:O,MATCH($A562,emprunts!$A:$A,0))))</f>
        <v>40299</v>
      </c>
      <c r="E562" s="52">
        <f>INDEX(emprunts!I:I,MATCH($A562,emprunts!$A:$A,0))</f>
        <v>20.83</v>
      </c>
      <c r="F562" s="18" t="str">
        <f>INDEX(emprunts!P:P,MATCH($A562,emprunts!$A:$A,0))</f>
        <v>Courbes</v>
      </c>
      <c r="G562" s="126" t="str">
        <f>IF(LEFT(A562,3)="vx_","vx",INDEX(Categorie,MATCH($A562,emprunts!$A$2:$A$149,0)))</f>
        <v>Struct</v>
      </c>
      <c r="H562">
        <v>2010</v>
      </c>
      <c r="I562">
        <f t="shared" si="82"/>
        <v>1</v>
      </c>
      <c r="N562" s="14"/>
      <c r="O562" s="14">
        <v>0</v>
      </c>
      <c r="Q562" s="14">
        <v>425371.39</v>
      </c>
      <c r="R562" s="14">
        <v>510043.41</v>
      </c>
      <c r="S562" s="14"/>
      <c r="T562" s="14">
        <v>264357.86</v>
      </c>
      <c r="U562" s="14">
        <f>SUM(Q562:T562)</f>
        <v>1199772.6600000001</v>
      </c>
      <c r="V562" s="14">
        <f t="shared" si="80"/>
        <v>264357.8600000001</v>
      </c>
      <c r="X562" s="85">
        <f t="shared" si="84"/>
        <v>15029000</v>
      </c>
      <c r="Y562" s="21">
        <f t="shared" si="89"/>
        <v>8.0672788117015656E-2</v>
      </c>
      <c r="AA562" s="55">
        <f t="shared" si="67"/>
        <v>405371.39</v>
      </c>
      <c r="AB562" s="55">
        <f t="shared" si="68"/>
        <v>362.41000000014901</v>
      </c>
      <c r="AC562" s="55">
        <f t="shared" si="85"/>
        <v>5024883.8482191777</v>
      </c>
    </row>
    <row r="563" spans="1:29">
      <c r="A563" t="s">
        <v>255</v>
      </c>
      <c r="B563" s="16" t="str">
        <f>INDEX(emprunts!C:C,MATCH($A563,emprunts!A:A,0))</f>
        <v>Dexia CL</v>
      </c>
      <c r="C563" s="18">
        <f>INDEX(emprunts!M:M,MATCH($A563,emprunts!$A:$A,0))</f>
        <v>39668</v>
      </c>
      <c r="D563" s="18">
        <f>IF(INDEX(emprunts!O:O,MATCH($A563,emprunts!$A:$A,0))="",INDEX(emprunts!N:N,MATCH($A563,emprunts!$A:$A,0)),MIN(INDEX(emprunts!N:N,MATCH($A563,emprunts!$A:$A,0)),INDEX(emprunts!O:O,MATCH($A563,emprunts!$A:$A,0))))</f>
        <v>40848</v>
      </c>
      <c r="E563" s="52">
        <f>INDEX(emprunts!I:I,MATCH($A563,emprunts!$A:$A,0))</f>
        <v>25.33</v>
      </c>
      <c r="F563" s="18" t="str">
        <f>INDEX(emprunts!P:P,MATCH($A563,emprunts!$A:$A,0))</f>
        <v>Change</v>
      </c>
      <c r="G563" s="126" t="str">
        <f>IF(LEFT(A563,3)="vx_","vx",INDEX(Categorie,MATCH($A563,emprunts!$A$2:$A$149,0)))</f>
        <v>Struct</v>
      </c>
      <c r="H563">
        <v>2010</v>
      </c>
      <c r="I563">
        <f t="shared" si="82"/>
        <v>1</v>
      </c>
      <c r="N563" s="14"/>
      <c r="O563" s="14">
        <v>9432320</v>
      </c>
      <c r="P563" s="4">
        <v>0.10662099999999999</v>
      </c>
      <c r="Q563" s="14">
        <v>196274.14</v>
      </c>
      <c r="R563" s="14">
        <v>810296.26</v>
      </c>
      <c r="S563" s="14"/>
      <c r="T563" s="14">
        <v>32264.240000000002</v>
      </c>
      <c r="U563" s="14">
        <f t="shared" si="92"/>
        <v>1006570.4</v>
      </c>
      <c r="V563" s="14">
        <f t="shared" si="80"/>
        <v>0</v>
      </c>
      <c r="X563" s="85">
        <f t="shared" si="84"/>
        <v>0</v>
      </c>
      <c r="Y563" s="21">
        <f t="shared" si="89"/>
        <v>2.0006504932924208E-2</v>
      </c>
      <c r="AA563" s="55">
        <f t="shared" si="67"/>
        <v>196274.14</v>
      </c>
      <c r="AB563" s="55">
        <f t="shared" si="68"/>
        <v>-0.74000000022351742</v>
      </c>
      <c r="AC563" s="55">
        <f t="shared" si="85"/>
        <v>9810516.1625205483</v>
      </c>
    </row>
    <row r="564" spans="1:29">
      <c r="A564" t="s">
        <v>256</v>
      </c>
      <c r="B564" s="16" t="str">
        <f>INDEX(emprunts!C:C,MATCH($A564,emprunts!A:A,0))</f>
        <v>Dexia CL</v>
      </c>
      <c r="C564" s="18">
        <f>INDEX(emprunts!M:M,MATCH($A564,emprunts!$A:$A,0))</f>
        <v>39668</v>
      </c>
      <c r="D564" s="18">
        <f>IF(INDEX(emprunts!O:O,MATCH($A564,emprunts!$A:$A,0))="",INDEX(emprunts!N:N,MATCH($A564,emprunts!$A:$A,0)),MIN(INDEX(emprunts!N:N,MATCH($A564,emprunts!$A:$A,0)),INDEX(emprunts!O:O,MATCH($A564,emprunts!$A:$A,0))))</f>
        <v>41214</v>
      </c>
      <c r="E564" s="52">
        <f>INDEX(emprunts!I:I,MATCH($A564,emprunts!$A:$A,0))</f>
        <v>25.33</v>
      </c>
      <c r="F564" s="18" t="str">
        <f>INDEX(emprunts!P:P,MATCH($A564,emprunts!$A:$A,0))</f>
        <v>Change</v>
      </c>
      <c r="G564" s="126" t="str">
        <f>IF(LEFT(A564,3)="vx_","vx",INDEX(Categorie,MATCH($A564,emprunts!$A$2:$A$149,0)))</f>
        <v>Struct</v>
      </c>
      <c r="H564">
        <v>2010</v>
      </c>
      <c r="I564">
        <f t="shared" si="82"/>
        <v>1</v>
      </c>
      <c r="N564" s="14"/>
      <c r="O564" s="14">
        <v>9871624</v>
      </c>
      <c r="P564" s="4">
        <v>9.0287000000000006E-2</v>
      </c>
      <c r="Q564" s="14">
        <v>199542.94</v>
      </c>
      <c r="R564" s="14">
        <v>596965.14</v>
      </c>
      <c r="S564" s="14"/>
      <c r="T564" s="14">
        <v>32801.58</v>
      </c>
      <c r="U564" s="14">
        <f t="shared" si="92"/>
        <v>796508.08000000007</v>
      </c>
      <c r="V564" s="14">
        <f t="shared" si="80"/>
        <v>0</v>
      </c>
      <c r="X564" s="85">
        <f t="shared" si="84"/>
        <v>0</v>
      </c>
      <c r="Y564" s="21">
        <f t="shared" si="89"/>
        <v>1.9674438366294317E-2</v>
      </c>
      <c r="AA564" s="55">
        <f t="shared" si="67"/>
        <v>199542.94</v>
      </c>
      <c r="AB564" s="55">
        <f t="shared" si="68"/>
        <v>0.14000000059604645</v>
      </c>
      <c r="AC564" s="55">
        <f t="shared" si="85"/>
        <v>10142243.264328767</v>
      </c>
    </row>
    <row r="565" spans="1:29">
      <c r="A565" t="s">
        <v>261</v>
      </c>
      <c r="B565" s="16" t="str">
        <f>INDEX(emprunts!C:C,MATCH($A565,emprunts!A:A,0))</f>
        <v>Dexia CL</v>
      </c>
      <c r="C565" s="18">
        <f>INDEX(emprunts!M:M,MATCH($A565,emprunts!$A:$A,0))</f>
        <v>39783</v>
      </c>
      <c r="D565" s="18">
        <f>IF(INDEX(emprunts!O:O,MATCH($A565,emprunts!$A:$A,0))="",INDEX(emprunts!N:N,MATCH($A565,emprunts!$A:$A,0)),MIN(INDEX(emprunts!N:N,MATCH($A565,emprunts!$A:$A,0)),INDEX(emprunts!O:O,MATCH($A565,emprunts!$A:$A,0))))</f>
        <v>40513</v>
      </c>
      <c r="E565" s="52">
        <f>INDEX(emprunts!I:I,MATCH($A565,emprunts!$A:$A,0))</f>
        <v>17</v>
      </c>
      <c r="F565" s="18" t="str">
        <f>INDEX(emprunts!P:P,MATCH($A565,emprunts!$A:$A,0))</f>
        <v>Change</v>
      </c>
      <c r="G565" s="126" t="str">
        <f>IF(LEFT(A565,3)="vx_","vx",INDEX(Categorie,MATCH($A565,emprunts!$A$2:$A$149,0)))</f>
        <v>Struct</v>
      </c>
      <c r="H565">
        <v>2010</v>
      </c>
      <c r="I565">
        <f t="shared" si="82"/>
        <v>1</v>
      </c>
      <c r="N565" s="14">
        <v>11246513</v>
      </c>
      <c r="O565" s="14">
        <v>0</v>
      </c>
      <c r="Q565" s="14">
        <v>327747.23</v>
      </c>
      <c r="R565" s="14">
        <v>456986</v>
      </c>
      <c r="S565" s="14"/>
      <c r="T565" s="14">
        <v>26938.13</v>
      </c>
      <c r="U565" s="14">
        <f>SUM(Q565:T565)</f>
        <v>811671.36</v>
      </c>
      <c r="V565" s="14">
        <f t="shared" si="80"/>
        <v>26938.130000000005</v>
      </c>
      <c r="X565" s="85">
        <f t="shared" si="84"/>
        <v>10354000</v>
      </c>
      <c r="Y565" s="21">
        <f t="shared" si="89"/>
        <v>3.3845227498268349E-2</v>
      </c>
      <c r="AA565" s="55">
        <f t="shared" si="67"/>
        <v>327747.23</v>
      </c>
      <c r="AB565" s="55">
        <f t="shared" si="68"/>
        <v>-303</v>
      </c>
      <c r="AC565" s="55">
        <f t="shared" si="85"/>
        <v>9683705.9232876711</v>
      </c>
    </row>
    <row r="566" spans="1:29">
      <c r="A566" t="s">
        <v>263</v>
      </c>
      <c r="B566" s="16" t="str">
        <f>INDEX(emprunts!C:C,MATCH($A566,emprunts!A:A,0))</f>
        <v>Dexia CL</v>
      </c>
      <c r="C566" s="18">
        <f>INDEX(emprunts!M:M,MATCH($A566,emprunts!$A:$A,0))</f>
        <v>39783</v>
      </c>
      <c r="D566" s="18">
        <f>IF(INDEX(emprunts!O:O,MATCH($A566,emprunts!$A:$A,0))="",INDEX(emprunts!N:N,MATCH($A566,emprunts!$A:$A,0)),MIN(INDEX(emprunts!N:N,MATCH($A566,emprunts!$A:$A,0)),INDEX(emprunts!O:O,MATCH($A566,emprunts!$A:$A,0))))</f>
        <v>41244</v>
      </c>
      <c r="E566" s="52">
        <f>INDEX(emprunts!I:I,MATCH($A566,emprunts!$A:$A,0))</f>
        <v>25</v>
      </c>
      <c r="F566" s="18" t="str">
        <f>INDEX(emprunts!P:P,MATCH($A566,emprunts!$A:$A,0))</f>
        <v>Pente</v>
      </c>
      <c r="G566" s="126" t="str">
        <f>IF(LEFT(A566,3)="vx_","vx",INDEX(Categorie,MATCH($A566,emprunts!$A$2:$A$149,0)))</f>
        <v>Struct</v>
      </c>
      <c r="H566">
        <v>2010</v>
      </c>
      <c r="I566">
        <f t="shared" si="82"/>
        <v>1</v>
      </c>
      <c r="N566" s="14"/>
      <c r="O566" s="14">
        <v>7924906</v>
      </c>
      <c r="P566" s="4">
        <v>2.1814E-2</v>
      </c>
      <c r="Q566" s="14">
        <v>184493.56</v>
      </c>
      <c r="R566" s="14">
        <v>538640.65</v>
      </c>
      <c r="S566" s="14"/>
      <c r="T566" s="14">
        <v>15163.85</v>
      </c>
      <c r="U566" s="14">
        <f t="shared" ref="U566:U584" si="93">SUM(Q566:S566)</f>
        <v>723134.21</v>
      </c>
      <c r="V566" s="14">
        <f t="shared" si="80"/>
        <v>0</v>
      </c>
      <c r="X566" s="85">
        <f t="shared" si="84"/>
        <v>0</v>
      </c>
      <c r="Y566" s="21">
        <f t="shared" si="89"/>
        <v>2.2576922225730739E-2</v>
      </c>
      <c r="AA566" s="55">
        <f t="shared" si="67"/>
        <v>184493.56</v>
      </c>
      <c r="AB566" s="55">
        <f t="shared" si="68"/>
        <v>-0.34999999962747097</v>
      </c>
      <c r="AC566" s="55">
        <f t="shared" si="85"/>
        <v>8171776.3898630142</v>
      </c>
    </row>
    <row r="567" spans="1:29">
      <c r="A567" t="s">
        <v>265</v>
      </c>
      <c r="B567" s="16" t="str">
        <f>INDEX(emprunts!C:C,MATCH($A567,emprunts!A:A,0))</f>
        <v>Dexia CL</v>
      </c>
      <c r="C567" s="18">
        <f>INDEX(emprunts!M:M,MATCH($A567,emprunts!$A:$A,0))</f>
        <v>39899</v>
      </c>
      <c r="D567" s="18">
        <f>IF(INDEX(emprunts!O:O,MATCH($A567,emprunts!$A:$A,0))="",INDEX(emprunts!N:N,MATCH($A567,emprunts!$A:$A,0)),MIN(INDEX(emprunts!N:N,MATCH($A567,emprunts!$A:$A,0)),INDEX(emprunts!O:O,MATCH($A567,emprunts!$A:$A,0))))</f>
        <v>47209</v>
      </c>
      <c r="E567" s="52">
        <f>INDEX(emprunts!I:I,MATCH($A567,emprunts!$A:$A,0))</f>
        <v>20</v>
      </c>
      <c r="F567" s="18" t="str">
        <f>INDEX(emprunts!P:P,MATCH($A567,emprunts!$A:$A,0))</f>
        <v>Fixe</v>
      </c>
      <c r="G567" s="126" t="str">
        <f>IF(LEFT(A567,3)="vx_","vx",INDEX(Categorie,MATCH($A567,emprunts!$A$2:$A$149,0)))</f>
        <v>Non_st</v>
      </c>
      <c r="H567">
        <v>2010</v>
      </c>
      <c r="I567">
        <f t="shared" si="82"/>
        <v>1</v>
      </c>
      <c r="N567" s="14"/>
      <c r="O567" s="14">
        <v>5711564</v>
      </c>
      <c r="Q567" s="85">
        <v>265445.80173044151</v>
      </c>
      <c r="R567" s="111">
        <v>203282</v>
      </c>
      <c r="S567" s="14"/>
      <c r="T567" s="85">
        <f>Q567/4</f>
        <v>66361.450432610378</v>
      </c>
      <c r="U567" s="14">
        <f t="shared" si="93"/>
        <v>468727.80173044151</v>
      </c>
      <c r="V567" s="14">
        <f t="shared" si="80"/>
        <v>0</v>
      </c>
      <c r="X567" s="85">
        <f t="shared" si="84"/>
        <v>0</v>
      </c>
      <c r="Y567" s="21">
        <f t="shared" si="89"/>
        <v>4.5698205844702848E-2</v>
      </c>
      <c r="Z567" t="s">
        <v>655</v>
      </c>
      <c r="AA567" s="55">
        <f t="shared" si="67"/>
        <v>264925.22216305183</v>
      </c>
      <c r="AB567" s="55">
        <f t="shared" si="68"/>
        <v>8858</v>
      </c>
      <c r="AC567" s="55">
        <f t="shared" si="85"/>
        <v>5797278.4109589038</v>
      </c>
    </row>
    <row r="568" spans="1:29">
      <c r="A568" t="s">
        <v>267</v>
      </c>
      <c r="B568" s="16" t="str">
        <f>INDEX(emprunts!C:C,MATCH($A568,emprunts!A:A,0))</f>
        <v>Société Générale</v>
      </c>
      <c r="C568" s="18">
        <f>INDEX(emprunts!M:M,MATCH($A568,emprunts!$A:$A,0))</f>
        <v>39904</v>
      </c>
      <c r="D568" s="18">
        <f>IF(INDEX(emprunts!O:O,MATCH($A568,emprunts!$A:$A,0))="",INDEX(emprunts!N:N,MATCH($A568,emprunts!$A:$A,0)),MIN(INDEX(emprunts!N:N,MATCH($A568,emprunts!$A:$A,0)),INDEX(emprunts!O:O,MATCH($A568,emprunts!$A:$A,0))))</f>
        <v>40452</v>
      </c>
      <c r="E568" s="52">
        <f>INDEX(emprunts!I:I,MATCH($A568,emprunts!$A:$A,0))</f>
        <v>18</v>
      </c>
      <c r="F568" s="18" t="str">
        <f>INDEX(emprunts!P:P,MATCH($A568,emprunts!$A:$A,0))</f>
        <v>Change</v>
      </c>
      <c r="G568" s="126" t="str">
        <f>IF(LEFT(A568,3)="vx_","vx",INDEX(Categorie,MATCH($A568,emprunts!$A$2:$A$149,0)))</f>
        <v>Struct</v>
      </c>
      <c r="H568">
        <v>2010</v>
      </c>
      <c r="I568">
        <f t="shared" si="82"/>
        <v>1</v>
      </c>
      <c r="N568" s="14">
        <v>3869019.96</v>
      </c>
      <c r="O568" s="14">
        <v>0</v>
      </c>
      <c r="Q568" s="14">
        <v>123566.82</v>
      </c>
      <c r="R568" s="14">
        <v>137529.04</v>
      </c>
      <c r="S568" s="14"/>
      <c r="T568" s="14">
        <v>92759.75</v>
      </c>
      <c r="U568" s="14">
        <f>SUM(Q568:T568)</f>
        <v>353855.61</v>
      </c>
      <c r="V568" s="14">
        <f t="shared" si="80"/>
        <v>92759.749999999971</v>
      </c>
      <c r="X568" s="85">
        <f t="shared" si="84"/>
        <v>3731000</v>
      </c>
      <c r="Y568" s="21">
        <f t="shared" si="89"/>
        <v>7.6117304154674742E-2</v>
      </c>
      <c r="AA568" s="55">
        <f t="shared" si="67"/>
        <v>216326.57</v>
      </c>
      <c r="AB568" s="55">
        <f t="shared" si="68"/>
        <v>-491.15999999921769</v>
      </c>
      <c r="AC568" s="55">
        <f t="shared" si="85"/>
        <v>2842015.6546849315</v>
      </c>
    </row>
    <row r="569" spans="1:29">
      <c r="A569" t="s">
        <v>269</v>
      </c>
      <c r="B569" s="16" t="str">
        <f>INDEX(emprunts!C:C,MATCH($A569,emprunts!A:A,0))</f>
        <v>Dexia CL</v>
      </c>
      <c r="C569" s="18">
        <f>INDEX(emprunts!M:M,MATCH($A569,emprunts!$A:$A,0))</f>
        <v>40087</v>
      </c>
      <c r="D569" s="18">
        <f>IF(INDEX(emprunts!O:O,MATCH($A569,emprunts!$A:$A,0))="",INDEX(emprunts!N:N,MATCH($A569,emprunts!$A:$A,0)),MIN(INDEX(emprunts!N:N,MATCH($A569,emprunts!$A:$A,0)),INDEX(emprunts!O:O,MATCH($A569,emprunts!$A:$A,0))))</f>
        <v>40452</v>
      </c>
      <c r="E569" s="52">
        <f>INDEX(emprunts!I:I,MATCH($A569,emprunts!$A:$A,0))</f>
        <v>16</v>
      </c>
      <c r="F569" s="18" t="str">
        <f>INDEX(emprunts!P:P,MATCH($A569,emprunts!$A:$A,0))</f>
        <v>Change</v>
      </c>
      <c r="G569" s="126" t="str">
        <f>IF(LEFT(A569,3)="vx_","vx",INDEX(Categorie,MATCH($A569,emprunts!$A$2:$A$149,0)))</f>
        <v>Struct</v>
      </c>
      <c r="H569">
        <v>2010</v>
      </c>
      <c r="I569">
        <f t="shared" si="82"/>
        <v>1</v>
      </c>
      <c r="N569" s="14">
        <v>10811289</v>
      </c>
      <c r="O569" s="14">
        <v>0</v>
      </c>
      <c r="Q569" s="14">
        <v>363920</v>
      </c>
      <c r="R569" s="14">
        <v>456986</v>
      </c>
      <c r="S569" s="14"/>
      <c r="T569" s="14">
        <v>90730.74</v>
      </c>
      <c r="U569" s="14">
        <f>SUM(Q569:T569)</f>
        <v>911636.74</v>
      </c>
      <c r="V569" s="14">
        <f t="shared" si="80"/>
        <v>90730.739999999991</v>
      </c>
      <c r="X569" s="85">
        <f t="shared" si="84"/>
        <v>10354000</v>
      </c>
      <c r="Y569" s="21">
        <f t="shared" si="89"/>
        <v>5.7440753704507429E-2</v>
      </c>
      <c r="AA569" s="55">
        <f t="shared" si="67"/>
        <v>454650.74</v>
      </c>
      <c r="AB569" s="55">
        <f t="shared" si="68"/>
        <v>-303</v>
      </c>
      <c r="AC569" s="55">
        <f t="shared" si="85"/>
        <v>7915124.9013698632</v>
      </c>
    </row>
    <row r="570" spans="1:29">
      <c r="A570" t="s">
        <v>270</v>
      </c>
      <c r="B570" s="16" t="str">
        <f>INDEX(emprunts!C:C,MATCH($A570,emprunts!A:A,0))</f>
        <v>Dexia CL</v>
      </c>
      <c r="C570" s="18">
        <f>INDEX(emprunts!M:M,MATCH($A570,emprunts!$A:$A,0))</f>
        <v>40118</v>
      </c>
      <c r="D570" s="18">
        <f>IF(INDEX(emprunts!O:O,MATCH($A570,emprunts!$A:$A,0))="",INDEX(emprunts!N:N,MATCH($A570,emprunts!$A:$A,0)),MIN(INDEX(emprunts!N:N,MATCH($A570,emprunts!$A:$A,0)),INDEX(emprunts!O:O,MATCH($A570,emprunts!$A:$A,0))))</f>
        <v>43040</v>
      </c>
      <c r="E570" s="52">
        <f>INDEX(emprunts!I:I,MATCH($A570,emprunts!$A:$A,0))</f>
        <v>23</v>
      </c>
      <c r="F570" s="18" t="str">
        <f>INDEX(emprunts!P:P,MATCH($A570,emprunts!$A:$A,0))</f>
        <v>Pente</v>
      </c>
      <c r="G570" s="126" t="str">
        <f>IF(LEFT(A570,3)="vx_","vx",INDEX(Categorie,MATCH($A570,emprunts!$A$2:$A$149,0)))</f>
        <v>Struct</v>
      </c>
      <c r="H570">
        <v>2010</v>
      </c>
      <c r="I570">
        <f t="shared" si="82"/>
        <v>1</v>
      </c>
      <c r="N570" s="14">
        <v>12886346.74</v>
      </c>
      <c r="O570" s="14">
        <v>12500993</v>
      </c>
      <c r="P570" s="4">
        <v>3.7945E-2</v>
      </c>
      <c r="Q570" s="14">
        <v>521306.42</v>
      </c>
      <c r="R570" s="14">
        <v>385354.01</v>
      </c>
      <c r="S570" s="14"/>
      <c r="T570" s="14">
        <v>85694.21</v>
      </c>
      <c r="U570" s="14">
        <f t="shared" si="93"/>
        <v>906660.42999999993</v>
      </c>
      <c r="V570" s="14">
        <f t="shared" ref="V570:V629" si="94">IF(U570="","",U570-SUM(Q570:S570))</f>
        <v>0</v>
      </c>
      <c r="X570" s="85">
        <f t="shared" si="84"/>
        <v>0</v>
      </c>
      <c r="Y570" s="21">
        <f t="shared" si="89"/>
        <v>4.7950530769162815E-2</v>
      </c>
      <c r="AA570" s="55">
        <f t="shared" si="67"/>
        <v>607000.63</v>
      </c>
      <c r="AB570" s="55">
        <f t="shared" si="68"/>
        <v>9.9999997764825821E-3</v>
      </c>
      <c r="AC570" s="55">
        <f t="shared" si="85"/>
        <v>12658892.826904111</v>
      </c>
    </row>
    <row r="571" spans="1:29">
      <c r="A571" t="s">
        <v>272</v>
      </c>
      <c r="B571" s="16" t="str">
        <f>INDEX(emprunts!C:C,MATCH($A571,emprunts!A:A,0))</f>
        <v>Dexia CL</v>
      </c>
      <c r="C571" s="18">
        <f>INDEX(emprunts!M:M,MATCH($A571,emprunts!$A:$A,0))</f>
        <v>40133</v>
      </c>
      <c r="D571" s="18">
        <f>IF(INDEX(emprunts!O:O,MATCH($A571,emprunts!$A:$A,0))="",INDEX(emprunts!N:N,MATCH($A571,emprunts!$A:$A,0)),MIN(INDEX(emprunts!N:N,MATCH($A571,emprunts!$A:$A,0)),INDEX(emprunts!O:O,MATCH($A571,emprunts!$A:$A,0))))</f>
        <v>40878</v>
      </c>
      <c r="E571" s="52">
        <f>INDEX(emprunts!I:I,MATCH($A571,emprunts!$A:$A,0))</f>
        <v>25</v>
      </c>
      <c r="F571" s="18" t="str">
        <f>INDEX(emprunts!P:P,MATCH($A571,emprunts!$A:$A,0))</f>
        <v>Variable</v>
      </c>
      <c r="G571" s="126" t="str">
        <f>IF(LEFT(A571,3)="vx_","vx",INDEX(Categorie,MATCH($A571,emprunts!$A$2:$A$149,0)))</f>
        <v>Non_st</v>
      </c>
      <c r="H571">
        <v>2010</v>
      </c>
      <c r="I571">
        <f t="shared" si="82"/>
        <v>1</v>
      </c>
      <c r="N571" s="14"/>
      <c r="O571" s="14">
        <v>5000000</v>
      </c>
      <c r="P571" s="4">
        <v>1.4701000000000001E-2</v>
      </c>
      <c r="Q571" s="14">
        <v>36461.17</v>
      </c>
      <c r="R571" s="14">
        <v>0</v>
      </c>
      <c r="S571" s="14"/>
      <c r="T571" s="14">
        <v>1385.86</v>
      </c>
      <c r="U571" s="14">
        <f t="shared" si="93"/>
        <v>36461.17</v>
      </c>
      <c r="V571" s="14">
        <f t="shared" si="94"/>
        <v>0</v>
      </c>
      <c r="X571" s="85">
        <f t="shared" si="84"/>
        <v>0</v>
      </c>
      <c r="Y571" s="21">
        <f t="shared" si="89"/>
        <v>7.5902010714285709E-3</v>
      </c>
      <c r="AA571" s="55">
        <f t="shared" ref="AA571:AA634" si="95">T571+Q571+S571-SUMPRODUCT(($A$123:$A$1367=$A571)*($H$123:$H$1367=$H571-1),$T$123:$T$1367)</f>
        <v>37847.03</v>
      </c>
      <c r="AB571" s="55">
        <f t="shared" ref="AB571:AB634" si="96">IF(YEAR(C571)=H571,"",O571+R571+X571-W571-SUMPRODUCT(($A$123:$A$1367=$A571)*($H$123:$H$1367=$H571-1),$O$123:$O$1367))</f>
        <v>2000000</v>
      </c>
      <c r="AC571" s="55">
        <f t="shared" si="85"/>
        <v>4986301.3698630137</v>
      </c>
    </row>
    <row r="572" spans="1:29">
      <c r="A572" s="1" t="s">
        <v>479</v>
      </c>
      <c r="B572" s="16" t="str">
        <f>INDEX(emprunts!C:C,MATCH($A572,emprunts!A:A,0))</f>
        <v>Caisse d'Épargne</v>
      </c>
      <c r="C572" s="18">
        <f>INDEX(emprunts!M:M,MATCH($A572,emprunts!$A:$A,0))</f>
        <v>39050</v>
      </c>
      <c r="D572" s="18">
        <f>IF(INDEX(emprunts!O:O,MATCH($A572,emprunts!$A:$A,0))="",INDEX(emprunts!N:N,MATCH($A572,emprunts!$A:$A,0)),MIN(INDEX(emprunts!N:N,MATCH($A572,emprunts!$A:$A,0)),INDEX(emprunts!O:O,MATCH($A572,emprunts!$A:$A,0))))</f>
        <v>40142</v>
      </c>
      <c r="E572" s="52">
        <f>INDEX(emprunts!I:I,MATCH($A572,emprunts!$A:$A,0))</f>
        <v>20</v>
      </c>
      <c r="F572" s="18" t="str">
        <f>INDEX(emprunts!P:P,MATCH($A572,emprunts!$A:$A,0))</f>
        <v>Pente</v>
      </c>
      <c r="G572" s="126" t="str">
        <f>IF(LEFT(A572,3)="vx_","vx",INDEX(Categorie,MATCH($A572,emprunts!$A$2:$A$149,0)))</f>
        <v>Struct</v>
      </c>
      <c r="H572">
        <v>2010</v>
      </c>
      <c r="I572">
        <f t="shared" si="82"/>
        <v>1</v>
      </c>
      <c r="L572" s="5">
        <v>39411</v>
      </c>
      <c r="M572" s="5">
        <v>39411</v>
      </c>
      <c r="N572" s="14">
        <v>5000000</v>
      </c>
      <c r="O572" s="14">
        <v>0</v>
      </c>
      <c r="U572" s="14">
        <f t="shared" si="93"/>
        <v>0</v>
      </c>
      <c r="V572" s="14">
        <f t="shared" si="94"/>
        <v>0</v>
      </c>
      <c r="W572"/>
      <c r="X572" s="85">
        <f t="shared" si="84"/>
        <v>0</v>
      </c>
      <c r="Y572" s="21" t="str">
        <f t="shared" si="89"/>
        <v/>
      </c>
      <c r="AA572" s="55">
        <f t="shared" si="95"/>
        <v>-14903.19</v>
      </c>
      <c r="AB572" s="55">
        <f t="shared" si="96"/>
        <v>0</v>
      </c>
      <c r="AC572" s="55">
        <f t="shared" si="85"/>
        <v>0</v>
      </c>
    </row>
    <row r="573" spans="1:29" ht="30">
      <c r="A573" t="s">
        <v>274</v>
      </c>
      <c r="B573" s="16" t="str">
        <f>INDEX(emprunts!C:C,MATCH($A573,emprunts!A:A,0))</f>
        <v>Caisse d'Épargne</v>
      </c>
      <c r="C573" s="18">
        <f>INDEX(emprunts!M:M,MATCH($A573,emprunts!$A:$A,0))</f>
        <v>40142</v>
      </c>
      <c r="D573" s="18">
        <f>IF(INDEX(emprunts!O:O,MATCH($A573,emprunts!$A:$A,0))="",INDEX(emprunts!N:N,MATCH($A573,emprunts!$A:$A,0)),MIN(INDEX(emprunts!N:N,MATCH($A573,emprunts!$A:$A,0)),INDEX(emprunts!O:O,MATCH($A573,emprunts!$A:$A,0))))</f>
        <v>46351</v>
      </c>
      <c r="E573" s="52">
        <f>INDEX(emprunts!I:I,MATCH($A573,emprunts!$A:$A,0))</f>
        <v>17</v>
      </c>
      <c r="F573" s="18" t="str">
        <f>INDEX(emprunts!P:P,MATCH($A573,emprunts!$A:$A,0))</f>
        <v>Fixe</v>
      </c>
      <c r="G573" s="126" t="str">
        <f>IF(LEFT(A573,3)="vx_","vx",INDEX(Categorie,MATCH($A573,emprunts!$A$2:$A$149,0)))</f>
        <v>Restr_sec</v>
      </c>
      <c r="H573">
        <v>2010</v>
      </c>
      <c r="I573">
        <f t="shared" si="82"/>
        <v>1</v>
      </c>
      <c r="N573" s="14">
        <v>4448712.2699999996</v>
      </c>
      <c r="O573" s="14">
        <v>4252777</v>
      </c>
      <c r="P573" s="4">
        <v>4.7684999999999998E-2</v>
      </c>
      <c r="Q573" s="14">
        <v>211993.5</v>
      </c>
      <c r="R573" s="112">
        <v>202793</v>
      </c>
      <c r="T573" s="14"/>
      <c r="U573" s="14">
        <f t="shared" si="93"/>
        <v>414786.5</v>
      </c>
      <c r="V573" s="14">
        <f t="shared" si="94"/>
        <v>0</v>
      </c>
      <c r="X573" s="85">
        <f t="shared" si="84"/>
        <v>0</v>
      </c>
      <c r="Y573" s="21">
        <f t="shared" si="89"/>
        <v>4.8821182648159225E-2</v>
      </c>
      <c r="Z573" t="s">
        <v>656</v>
      </c>
      <c r="AA573" s="55">
        <f t="shared" si="95"/>
        <v>211993.5</v>
      </c>
      <c r="AB573" s="55">
        <f t="shared" si="96"/>
        <v>6858</v>
      </c>
      <c r="AC573" s="55">
        <f t="shared" si="85"/>
        <v>4342244.2575342469</v>
      </c>
    </row>
    <row r="574" spans="1:29">
      <c r="A574" t="s">
        <v>276</v>
      </c>
      <c r="B574" s="16" t="str">
        <f>INDEX(emprunts!C:C,MATCH($A574,emprunts!A:A,0))</f>
        <v>Arkea</v>
      </c>
      <c r="C574" s="18">
        <f>INDEX(emprunts!M:M,MATCH($A574,emprunts!$A:$A,0))</f>
        <v>40168</v>
      </c>
      <c r="D574" s="18">
        <f>IF(INDEX(emprunts!O:O,MATCH($A574,emprunts!$A:$A,0))="",INDEX(emprunts!N:N,MATCH($A574,emprunts!$A:$A,0)),MIN(INDEX(emprunts!N:N,MATCH($A574,emprunts!$A:$A,0)),INDEX(emprunts!O:O,MATCH($A574,emprunts!$A:$A,0))))</f>
        <v>47786</v>
      </c>
      <c r="E574" s="52">
        <f>INDEX(emprunts!I:I,MATCH($A574,emprunts!$A:$A,0))</f>
        <v>20</v>
      </c>
      <c r="F574" s="18" t="str">
        <f>INDEX(emprunts!P:P,MATCH($A574,emprunts!$A:$A,0))</f>
        <v>Variable</v>
      </c>
      <c r="G574" s="126" t="str">
        <f>IF(LEFT(A574,3)="vx_","vx",INDEX(Categorie,MATCH($A574,emprunts!$A$2:$A$149,0)))</f>
        <v>Non_st</v>
      </c>
      <c r="H574">
        <v>2010</v>
      </c>
      <c r="I574">
        <f t="shared" si="82"/>
        <v>1</v>
      </c>
      <c r="N574" s="14"/>
      <c r="O574" s="14">
        <v>10000000</v>
      </c>
      <c r="Q574" s="14">
        <v>0</v>
      </c>
      <c r="R574" s="14"/>
      <c r="S574" s="14"/>
      <c r="T574" s="14"/>
      <c r="U574" s="14">
        <f t="shared" si="93"/>
        <v>0</v>
      </c>
      <c r="V574" s="14">
        <f t="shared" si="94"/>
        <v>0</v>
      </c>
      <c r="X574" s="85">
        <f t="shared" si="84"/>
        <v>0</v>
      </c>
      <c r="Y574" s="21" t="str">
        <f t="shared" si="89"/>
        <v/>
      </c>
      <c r="AA574" s="55">
        <f t="shared" si="95"/>
        <v>0</v>
      </c>
      <c r="AB574" s="55">
        <f t="shared" si="96"/>
        <v>10000000</v>
      </c>
      <c r="AC574" s="55">
        <f t="shared" si="85"/>
        <v>9972602.7397260275</v>
      </c>
    </row>
    <row r="575" spans="1:29">
      <c r="A575" t="s">
        <v>284</v>
      </c>
      <c r="B575" s="16" t="str">
        <f>INDEX(emprunts!C:C,MATCH($A575,emprunts!A:A,0))</f>
        <v>Société Générale</v>
      </c>
      <c r="C575" s="18">
        <f>INDEX(emprunts!M:M,MATCH($A575,emprunts!$A:$A,0))</f>
        <v>40452</v>
      </c>
      <c r="D575" s="18">
        <f>IF(INDEX(emprunts!O:O,MATCH($A575,emprunts!$A:$A,0))="",INDEX(emprunts!N:N,MATCH($A575,emprunts!$A:$A,0)),MIN(INDEX(emprunts!N:N,MATCH($A575,emprunts!$A:$A,0)),INDEX(emprunts!O:O,MATCH($A575,emprunts!$A:$A,0))))</f>
        <v>41640</v>
      </c>
      <c r="E575" s="52">
        <f>INDEX(emprunts!I:I,MATCH($A575,emprunts!$A:$A,0))</f>
        <v>25</v>
      </c>
      <c r="F575" s="18" t="str">
        <f>INDEX(emprunts!P:P,MATCH($A575,emprunts!$A:$A,0))</f>
        <v>Barrière avec multiplicateur</v>
      </c>
      <c r="G575" s="126" t="str">
        <f>IF(LEFT(A575,3)="vx_","vx",INDEX(Categorie,MATCH($A575,emprunts!$A$2:$A$149,0)))</f>
        <v>Struct</v>
      </c>
      <c r="H575">
        <v>2010</v>
      </c>
      <c r="I575">
        <f t="shared" si="82"/>
        <v>1</v>
      </c>
      <c r="N575" s="14">
        <v>4475856</v>
      </c>
      <c r="O575" s="14">
        <v>4475856</v>
      </c>
      <c r="P575" s="4">
        <v>4.0481999999999997E-2</v>
      </c>
      <c r="Q575" s="14">
        <v>0</v>
      </c>
      <c r="R575" s="14">
        <v>0</v>
      </c>
      <c r="S575" s="14"/>
      <c r="T575" s="14">
        <v>0</v>
      </c>
      <c r="U575" s="14">
        <f t="shared" si="93"/>
        <v>0</v>
      </c>
      <c r="V575" s="14">
        <f t="shared" si="94"/>
        <v>0</v>
      </c>
      <c r="X575" s="85">
        <f t="shared" si="84"/>
        <v>0</v>
      </c>
      <c r="Y575" s="21" t="str">
        <f t="shared" si="89"/>
        <v/>
      </c>
      <c r="AA575" s="55">
        <f t="shared" si="95"/>
        <v>0</v>
      </c>
      <c r="AB575" s="55" t="str">
        <f t="shared" si="96"/>
        <v/>
      </c>
      <c r="AC575" s="55">
        <f t="shared" si="85"/>
        <v>1115898.3452054795</v>
      </c>
    </row>
    <row r="576" spans="1:29">
      <c r="A576" t="s">
        <v>286</v>
      </c>
      <c r="B576" s="16" t="str">
        <f>INDEX(emprunts!C:C,MATCH($A576,emprunts!A:A,0))</f>
        <v>Dexia CL</v>
      </c>
      <c r="C576" s="18">
        <f>INDEX(emprunts!M:M,MATCH($A576,emprunts!$A:$A,0))</f>
        <v>40179</v>
      </c>
      <c r="D576" s="18">
        <f>IF(INDEX(emprunts!O:O,MATCH($A576,emprunts!$A:$A,0))="",INDEX(emprunts!N:N,MATCH($A576,emprunts!$A:$A,0)),MIN(INDEX(emprunts!N:N,MATCH($A576,emprunts!$A:$A,0)),INDEX(emprunts!O:O,MATCH($A576,emprunts!$A:$A,0))))</f>
        <v>40848</v>
      </c>
      <c r="E576" s="52">
        <f>INDEX(emprunts!I:I,MATCH($A576,emprunts!$A:$A,0))</f>
        <v>23</v>
      </c>
      <c r="F576" s="18" t="str">
        <f>INDEX(emprunts!P:P,MATCH($A576,emprunts!$A:$A,0))</f>
        <v>Barrière avec multiplicateur</v>
      </c>
      <c r="G576" s="126" t="str">
        <f>IF(LEFT(A576,3)="vx_","vx",INDEX(Categorie,MATCH($A576,emprunts!$A$2:$A$149,0)))</f>
        <v>Struct</v>
      </c>
      <c r="H576">
        <v>2010</v>
      </c>
      <c r="I576">
        <f t="shared" si="82"/>
        <v>1</v>
      </c>
      <c r="N576" s="14">
        <v>9799674</v>
      </c>
      <c r="O576" s="14">
        <v>9799674</v>
      </c>
      <c r="P576" s="4">
        <v>2.2544999999999999E-2</v>
      </c>
      <c r="Q576" s="14">
        <v>0</v>
      </c>
      <c r="R576" s="14">
        <v>0</v>
      </c>
      <c r="S576" s="14"/>
      <c r="T576" s="14">
        <v>0</v>
      </c>
      <c r="U576" s="14">
        <f t="shared" si="93"/>
        <v>0</v>
      </c>
      <c r="V576" s="14">
        <f t="shared" si="94"/>
        <v>0</v>
      </c>
      <c r="X576" s="85">
        <f t="shared" si="84"/>
        <v>0</v>
      </c>
      <c r="Y576" s="21" t="str">
        <f t="shared" si="89"/>
        <v/>
      </c>
      <c r="AA576" s="55">
        <f t="shared" si="95"/>
        <v>0</v>
      </c>
      <c r="AB576" s="55" t="str">
        <f t="shared" si="96"/>
        <v/>
      </c>
      <c r="AC576" s="55">
        <f t="shared" si="85"/>
        <v>9772825.5780821927</v>
      </c>
    </row>
    <row r="577" spans="1:29">
      <c r="A577" t="s">
        <v>288</v>
      </c>
      <c r="B577" s="16" t="str">
        <f>INDEX(emprunts!C:C,MATCH($A577,emprunts!A:A,0))</f>
        <v>Société Générale</v>
      </c>
      <c r="C577" s="18">
        <f>INDEX(emprunts!M:M,MATCH($A577,emprunts!$A:$A,0))</f>
        <v>40452</v>
      </c>
      <c r="D577" s="18">
        <f>IF(INDEX(emprunts!O:O,MATCH($A577,emprunts!$A:$A,0))="",INDEX(emprunts!N:N,MATCH($A577,emprunts!$A:$A,0)),MIN(INDEX(emprunts!N:N,MATCH($A577,emprunts!$A:$A,0)),INDEX(emprunts!O:O,MATCH($A577,emprunts!$A:$A,0))))</f>
        <v>41730</v>
      </c>
      <c r="E577" s="52">
        <f>INDEX(emprunts!I:I,MATCH($A577,emprunts!$A:$A,0))</f>
        <v>25</v>
      </c>
      <c r="F577" s="18" t="str">
        <f>INDEX(emprunts!P:P,MATCH($A577,emprunts!$A:$A,0))</f>
        <v>Barrière avec multiplicateur</v>
      </c>
      <c r="G577" s="126" t="str">
        <f>IF(LEFT(A577,3)="vx_","vx",INDEX(Categorie,MATCH($A577,emprunts!$A$2:$A$149,0)))</f>
        <v>Struct</v>
      </c>
      <c r="H577">
        <v>2010</v>
      </c>
      <c r="I577">
        <f t="shared" si="82"/>
        <v>1</v>
      </c>
      <c r="N577" s="14">
        <v>3731491</v>
      </c>
      <c r="O577" s="14">
        <v>3731491</v>
      </c>
      <c r="P577" s="4">
        <v>4.0481999999999997E-2</v>
      </c>
      <c r="Q577" s="14">
        <v>0</v>
      </c>
      <c r="R577" s="14">
        <v>0</v>
      </c>
      <c r="S577" s="14"/>
      <c r="T577" s="14">
        <v>0</v>
      </c>
      <c r="U577" s="14">
        <f t="shared" si="93"/>
        <v>0</v>
      </c>
      <c r="V577" s="14">
        <f t="shared" si="94"/>
        <v>0</v>
      </c>
      <c r="X577" s="85">
        <f t="shared" si="84"/>
        <v>0</v>
      </c>
      <c r="Y577" s="21" t="str">
        <f t="shared" si="89"/>
        <v/>
      </c>
      <c r="AA577" s="55">
        <f t="shared" si="95"/>
        <v>0</v>
      </c>
      <c r="AB577" s="55" t="str">
        <f t="shared" si="96"/>
        <v/>
      </c>
      <c r="AC577" s="55">
        <f t="shared" si="85"/>
        <v>930316.93424657534</v>
      </c>
    </row>
    <row r="578" spans="1:29">
      <c r="A578" t="s">
        <v>289</v>
      </c>
      <c r="B578" s="16" t="str">
        <f>INDEX(emprunts!C:C,MATCH($A578,emprunts!A:A,0))</f>
        <v>Dexia CL</v>
      </c>
      <c r="C578" s="18">
        <f>INDEX(emprunts!M:M,MATCH($A578,emprunts!$A:$A,0))</f>
        <v>40299</v>
      </c>
      <c r="D578" s="18">
        <f>IF(INDEX(emprunts!O:O,MATCH($A578,emprunts!$A:$A,0))="",INDEX(emprunts!N:N,MATCH($A578,emprunts!$A:$A,0)),MIN(INDEX(emprunts!N:N,MATCH($A578,emprunts!$A:$A,0)),INDEX(emprunts!O:O,MATCH($A578,emprunts!$A:$A,0))))</f>
        <v>40737</v>
      </c>
      <c r="E578" s="52">
        <f>INDEX(emprunts!I:I,MATCH($A578,emprunts!$A:$A,0))</f>
        <v>19</v>
      </c>
      <c r="F578" s="18" t="str">
        <f>INDEX(emprunts!P:P,MATCH($A578,emprunts!$A:$A,0))</f>
        <v>Barrière avec multiplicateur</v>
      </c>
      <c r="G578" s="126" t="str">
        <f>IF(LEFT(A578,3)="vx_","vx",INDEX(Categorie,MATCH($A578,emprunts!$A$2:$A$149,0)))</f>
        <v>Struct</v>
      </c>
      <c r="H578">
        <v>2010</v>
      </c>
      <c r="I578">
        <f t="shared" si="82"/>
        <v>1</v>
      </c>
      <c r="N578" s="14">
        <v>15028637</v>
      </c>
      <c r="O578" s="14">
        <v>15028637</v>
      </c>
      <c r="P578" s="4">
        <v>2.7394000000000002E-2</v>
      </c>
      <c r="Q578" s="14">
        <v>0</v>
      </c>
      <c r="R578" s="14">
        <v>0</v>
      </c>
      <c r="S578" s="14"/>
      <c r="T578" s="14">
        <v>0</v>
      </c>
      <c r="U578" s="14">
        <f t="shared" si="93"/>
        <v>0</v>
      </c>
      <c r="V578" s="14">
        <f t="shared" si="94"/>
        <v>0</v>
      </c>
      <c r="X578" s="85">
        <f t="shared" si="84"/>
        <v>0</v>
      </c>
      <c r="Y578" s="21" t="str">
        <f t="shared" si="89"/>
        <v/>
      </c>
      <c r="AA578" s="55">
        <f t="shared" si="95"/>
        <v>0</v>
      </c>
      <c r="AB578" s="55" t="str">
        <f t="shared" si="96"/>
        <v/>
      </c>
      <c r="AC578" s="55">
        <f t="shared" si="85"/>
        <v>10046540.898630137</v>
      </c>
    </row>
    <row r="579" spans="1:29">
      <c r="A579" t="s">
        <v>300</v>
      </c>
      <c r="B579" s="16" t="str">
        <f>INDEX(emprunts!C:C,MATCH($A579,emprunts!A:A,0))</f>
        <v>Dexia CL</v>
      </c>
      <c r="C579" s="18">
        <f>INDEX(emprunts!M:M,MATCH($A579,emprunts!$A:$A,0))</f>
        <v>40452</v>
      </c>
      <c r="D579" s="18">
        <f>IF(INDEX(emprunts!O:O,MATCH($A579,emprunts!$A:$A,0))="",INDEX(emprunts!N:N,MATCH($A579,emprunts!$A:$A,0)),MIN(INDEX(emprunts!N:N,MATCH($A579,emprunts!$A:$A,0)),INDEX(emprunts!O:O,MATCH($A579,emprunts!$A:$A,0))))</f>
        <v>40664</v>
      </c>
      <c r="E579" s="52">
        <f>INDEX(emprunts!I:I,MATCH($A579,emprunts!$A:$A,0))</f>
        <v>12</v>
      </c>
      <c r="F579" s="18" t="str">
        <f>INDEX(emprunts!P:P,MATCH($A579,emprunts!$A:$A,0))</f>
        <v>Change</v>
      </c>
      <c r="G579" s="126" t="str">
        <f>IF(LEFT(A579,3)="vx_","vx",INDEX(Categorie,MATCH($A579,emprunts!$A$2:$A$149,0)))</f>
        <v>Struct</v>
      </c>
      <c r="H579">
        <v>2010</v>
      </c>
      <c r="I579">
        <f t="shared" si="82"/>
        <v>1</v>
      </c>
      <c r="N579" s="14">
        <v>7230654</v>
      </c>
      <c r="O579" s="14">
        <v>7230654</v>
      </c>
      <c r="P579" s="4">
        <v>0.105846</v>
      </c>
      <c r="Q579" s="14">
        <v>0</v>
      </c>
      <c r="R579" s="14">
        <v>0</v>
      </c>
      <c r="S579" s="14"/>
      <c r="T579" s="14">
        <v>0</v>
      </c>
      <c r="U579" s="14">
        <f t="shared" si="93"/>
        <v>0</v>
      </c>
      <c r="V579" s="14">
        <f t="shared" si="94"/>
        <v>0</v>
      </c>
      <c r="X579" s="85">
        <f t="shared" si="84"/>
        <v>0</v>
      </c>
      <c r="Y579" s="21" t="str">
        <f t="shared" si="89"/>
        <v/>
      </c>
      <c r="Z579" t="s">
        <v>646</v>
      </c>
      <c r="AA579" s="55">
        <f t="shared" si="95"/>
        <v>0</v>
      </c>
      <c r="AB579" s="55" t="str">
        <f t="shared" si="96"/>
        <v/>
      </c>
      <c r="AC579" s="55">
        <f t="shared" si="85"/>
        <v>1802710.9972602739</v>
      </c>
    </row>
    <row r="580" spans="1:29">
      <c r="A580" t="s">
        <v>302</v>
      </c>
      <c r="B580" s="16" t="str">
        <f>INDEX(emprunts!C:C,MATCH($A580,emprunts!A:A,0))</f>
        <v>Dexia CL</v>
      </c>
      <c r="C580" s="18">
        <f>INDEX(emprunts!M:M,MATCH($A580,emprunts!$A:$A,0))</f>
        <v>40384</v>
      </c>
      <c r="D580" s="18">
        <f>IF(INDEX(emprunts!O:O,MATCH($A580,emprunts!$A:$A,0))="",INDEX(emprunts!N:N,MATCH($A580,emprunts!$A:$A,0)),MIN(INDEX(emprunts!N:N,MATCH($A580,emprunts!$A:$A,0)),INDEX(emprunts!O:O,MATCH($A580,emprunts!$A:$A,0))))</f>
        <v>45901</v>
      </c>
      <c r="E580" s="52">
        <f>INDEX(emprunts!I:I,MATCH($A580,emprunts!$A:$A,0))</f>
        <v>15</v>
      </c>
      <c r="F580" s="18" t="str">
        <f>INDEX(emprunts!P:P,MATCH($A580,emprunts!$A:$A,0))</f>
        <v>Fixe</v>
      </c>
      <c r="G580" s="126" t="str">
        <f>IF(LEFT(A580,3)="vx_","vx",INDEX(Categorie,MATCH($A580,emprunts!$A$2:$A$149,0)))</f>
        <v>Non_st</v>
      </c>
      <c r="H580">
        <v>2010</v>
      </c>
      <c r="I580">
        <f t="shared" si="82"/>
        <v>1</v>
      </c>
      <c r="N580" s="14">
        <v>750000</v>
      </c>
      <c r="O580" s="14">
        <v>739366</v>
      </c>
      <c r="P580" s="4">
        <v>2.1399999999999999E-2</v>
      </c>
      <c r="Q580" s="14">
        <v>4280</v>
      </c>
      <c r="R580" s="14">
        <v>10634.02</v>
      </c>
      <c r="S580" s="14"/>
      <c r="T580" s="14">
        <v>0</v>
      </c>
      <c r="U580" s="14">
        <f t="shared" si="93"/>
        <v>14914.02</v>
      </c>
      <c r="V580" s="14">
        <f t="shared" si="94"/>
        <v>0</v>
      </c>
      <c r="X580" s="85">
        <f t="shared" si="84"/>
        <v>0</v>
      </c>
      <c r="Y580" s="21">
        <f t="shared" si="89"/>
        <v>1.3193744319082025E-2</v>
      </c>
      <c r="AA580" s="55">
        <f t="shared" si="95"/>
        <v>4280</v>
      </c>
      <c r="AB580" s="55" t="str">
        <f t="shared" si="96"/>
        <v/>
      </c>
      <c r="AC580" s="55">
        <f t="shared" si="85"/>
        <v>324396.16052054794</v>
      </c>
    </row>
    <row r="581" spans="1:29" ht="30">
      <c r="A581" t="s">
        <v>304</v>
      </c>
      <c r="B581" s="16" t="str">
        <f>INDEX(emprunts!C:C,MATCH($A581,emprunts!A:A,0))</f>
        <v>Société Générale</v>
      </c>
      <c r="C581" s="18">
        <f>INDEX(emprunts!M:M,MATCH($A581,emprunts!$A:$A,0))</f>
        <v>40422</v>
      </c>
      <c r="D581" s="18">
        <f>IF(INDEX(emprunts!O:O,MATCH($A581,emprunts!$A:$A,0))="",INDEX(emprunts!N:N,MATCH($A581,emprunts!$A:$A,0)),MIN(INDEX(emprunts!N:N,MATCH($A581,emprunts!$A:$A,0)),INDEX(emprunts!O:O,MATCH($A581,emprunts!$A:$A,0))))</f>
        <v>47818</v>
      </c>
      <c r="E581" s="52">
        <f>INDEX(emprunts!I:I,MATCH($A581,emprunts!$A:$A,0))</f>
        <v>20</v>
      </c>
      <c r="F581" s="18" t="str">
        <f>INDEX(emprunts!P:P,MATCH($A581,emprunts!$A:$A,0))</f>
        <v>Fixe</v>
      </c>
      <c r="G581" s="126" t="str">
        <f>IF(LEFT(A581,3)="vx_","vx",INDEX(Categorie,MATCH($A581,emprunts!$A$2:$A$149,0)))</f>
        <v>Restr_sec</v>
      </c>
      <c r="H581">
        <v>2010</v>
      </c>
      <c r="I581">
        <f t="shared" si="82"/>
        <v>1</v>
      </c>
      <c r="N581" s="14"/>
      <c r="O581" s="14">
        <v>1790342</v>
      </c>
      <c r="P581" s="4">
        <v>4.3930999999999998E-2</v>
      </c>
      <c r="Q581" s="14">
        <v>19595.79</v>
      </c>
      <c r="R581" s="14">
        <v>0</v>
      </c>
      <c r="S581" s="14"/>
      <c r="T581" s="14">
        <v>0</v>
      </c>
      <c r="U581" s="14">
        <f t="shared" si="93"/>
        <v>19595.79</v>
      </c>
      <c r="V581" s="14">
        <f t="shared" si="94"/>
        <v>0</v>
      </c>
      <c r="X581" s="85">
        <f t="shared" si="84"/>
        <v>0</v>
      </c>
      <c r="Y581" s="21">
        <f t="shared" si="89"/>
        <v>3.3016746160997118E-2</v>
      </c>
      <c r="AA581" s="55">
        <f t="shared" si="95"/>
        <v>19595.79</v>
      </c>
      <c r="AB581" s="55" t="str">
        <f t="shared" si="96"/>
        <v/>
      </c>
      <c r="AC581" s="55">
        <f t="shared" si="85"/>
        <v>593510.63561643835</v>
      </c>
    </row>
    <row r="582" spans="1:29">
      <c r="A582" t="s">
        <v>306</v>
      </c>
      <c r="B582" s="16" t="str">
        <f>INDEX(emprunts!C:C,MATCH($A582,emprunts!A:A,0))</f>
        <v>Dexia CL</v>
      </c>
      <c r="C582" s="18">
        <f>INDEX(emprunts!M:M,MATCH($A582,emprunts!$A:$A,0))</f>
        <v>40452</v>
      </c>
      <c r="D582" s="18">
        <f>IF(INDEX(emprunts!O:O,MATCH($A582,emprunts!$A:$A,0))="",INDEX(emprunts!N:N,MATCH($A582,emprunts!$A:$A,0)),MIN(INDEX(emprunts!N:N,MATCH($A582,emprunts!$A:$A,0)),INDEX(emprunts!O:O,MATCH($A582,emprunts!$A:$A,0))))</f>
        <v>41030</v>
      </c>
      <c r="E582" s="52">
        <f>INDEX(emprunts!I:I,MATCH($A582,emprunts!$A:$A,0))</f>
        <v>15</v>
      </c>
      <c r="F582" s="18" t="str">
        <f>INDEX(emprunts!P:P,MATCH($A582,emprunts!$A:$A,0))</f>
        <v>Change</v>
      </c>
      <c r="G582" s="126" t="str">
        <f>IF(LEFT(A582,3)="vx_","vx",INDEX(Categorie,MATCH($A582,emprunts!$A$2:$A$149,0)))</f>
        <v>Struct</v>
      </c>
      <c r="H582">
        <v>2010</v>
      </c>
      <c r="I582">
        <f t="shared" si="82"/>
        <v>1</v>
      </c>
      <c r="N582" s="14">
        <v>10354303</v>
      </c>
      <c r="O582" s="14">
        <v>10354303</v>
      </c>
      <c r="P582" s="4">
        <v>3.3683999999999999E-2</v>
      </c>
      <c r="Q582" s="14">
        <v>0</v>
      </c>
      <c r="R582" s="14">
        <v>0</v>
      </c>
      <c r="S582" s="14"/>
      <c r="T582" s="14">
        <v>0</v>
      </c>
      <c r="U582" s="14">
        <f t="shared" si="93"/>
        <v>0</v>
      </c>
      <c r="V582" s="14">
        <f t="shared" si="94"/>
        <v>0</v>
      </c>
      <c r="X582" s="85">
        <f t="shared" si="84"/>
        <v>0</v>
      </c>
      <c r="Y582" s="21" t="str">
        <f t="shared" si="89"/>
        <v/>
      </c>
      <c r="AA582" s="55">
        <f t="shared" si="95"/>
        <v>0</v>
      </c>
      <c r="AB582" s="55" t="str">
        <f t="shared" si="96"/>
        <v/>
      </c>
      <c r="AC582" s="55">
        <f t="shared" si="85"/>
        <v>2581483.7616438358</v>
      </c>
    </row>
    <row r="583" spans="1:29">
      <c r="A583" t="s">
        <v>311</v>
      </c>
      <c r="B583" s="16" t="str">
        <f>INDEX(emprunts!C:C,MATCH($A583,emprunts!A:A,0))</f>
        <v>Dexia CL</v>
      </c>
      <c r="C583" s="18">
        <f>INDEX(emprunts!M:M,MATCH($A583,emprunts!$A:$A,0))</f>
        <v>40513</v>
      </c>
      <c r="D583" s="18">
        <f>IF(INDEX(emprunts!O:O,MATCH($A583,emprunts!$A:$A,0))="",INDEX(emprunts!N:N,MATCH($A583,emprunts!$A:$A,0)),MIN(INDEX(emprunts!N:N,MATCH($A583,emprunts!$A:$A,0)),INDEX(emprunts!O:O,MATCH($A583,emprunts!$A:$A,0))))</f>
        <v>40878</v>
      </c>
      <c r="E583" s="52">
        <f>INDEX(emprunts!I:I,MATCH($A583,emprunts!$A:$A,0))</f>
        <v>17</v>
      </c>
      <c r="F583" s="18" t="str">
        <f>INDEX(emprunts!P:P,MATCH($A583,emprunts!$A:$A,0))</f>
        <v>Change</v>
      </c>
      <c r="G583" s="126" t="str">
        <f>IF(LEFT(A583,3)="vx_","vx",INDEX(Categorie,MATCH($A583,emprunts!$A$2:$A$149,0)))</f>
        <v>Struct</v>
      </c>
      <c r="H583">
        <v>2010</v>
      </c>
      <c r="I583">
        <f t="shared" si="82"/>
        <v>1</v>
      </c>
      <c r="N583" s="14"/>
      <c r="O583" s="14">
        <v>10354303</v>
      </c>
      <c r="P583" s="4">
        <v>0.12459199999999999</v>
      </c>
      <c r="Q583" s="14">
        <v>0</v>
      </c>
      <c r="R583" s="14">
        <v>0</v>
      </c>
      <c r="S583" s="14"/>
      <c r="T583" s="14">
        <v>0</v>
      </c>
      <c r="U583" s="14">
        <f t="shared" si="93"/>
        <v>0</v>
      </c>
      <c r="V583" s="14">
        <f t="shared" si="94"/>
        <v>0</v>
      </c>
      <c r="X583" s="85">
        <f t="shared" si="84"/>
        <v>0</v>
      </c>
      <c r="Y583" s="21" t="str">
        <f t="shared" si="89"/>
        <v/>
      </c>
      <c r="AA583" s="55">
        <f t="shared" si="95"/>
        <v>0</v>
      </c>
      <c r="AB583" s="55" t="str">
        <f t="shared" si="96"/>
        <v/>
      </c>
      <c r="AC583" s="55">
        <f t="shared" si="85"/>
        <v>851038.60273972596</v>
      </c>
    </row>
    <row r="584" spans="1:29" ht="30">
      <c r="A584" t="s">
        <v>313</v>
      </c>
      <c r="B584" s="16" t="str">
        <f>INDEX(emprunts!C:C,MATCH($A584,emprunts!A:A,0))</f>
        <v>Société Générale</v>
      </c>
      <c r="C584" s="18">
        <f>INDEX(emprunts!M:M,MATCH($A584,emprunts!$A:$A,0))</f>
        <v>40513</v>
      </c>
      <c r="D584" s="18">
        <f>IF(INDEX(emprunts!O:O,MATCH($A584,emprunts!$A:$A,0))="",INDEX(emprunts!N:N,MATCH($A584,emprunts!$A:$A,0)),MIN(INDEX(emprunts!N:N,MATCH($A584,emprunts!$A:$A,0)),INDEX(emprunts!O:O,MATCH($A584,emprunts!$A:$A,0))))</f>
        <v>47818</v>
      </c>
      <c r="E584" s="52">
        <f>INDEX(emprunts!I:I,MATCH($A584,emprunts!$A:$A,0))</f>
        <v>20</v>
      </c>
      <c r="F584" s="18" t="str">
        <f>INDEX(emprunts!P:P,MATCH($A584,emprunts!$A:$A,0))</f>
        <v>Fixe</v>
      </c>
      <c r="G584" s="126" t="str">
        <f>IF(LEFT(A584,3)="vx_","vx",INDEX(Categorie,MATCH($A584,emprunts!$A$2:$A$149,0)))</f>
        <v>Restr_sec</v>
      </c>
      <c r="H584">
        <v>2010</v>
      </c>
      <c r="I584">
        <f t="shared" si="82"/>
        <v>1</v>
      </c>
      <c r="N584" s="14">
        <v>2572189</v>
      </c>
      <c r="O584" s="14">
        <v>2572189</v>
      </c>
      <c r="P584" s="4">
        <v>4.3930999999999998E-2</v>
      </c>
      <c r="Q584" s="14">
        <v>0</v>
      </c>
      <c r="R584" s="14">
        <v>0</v>
      </c>
      <c r="S584" s="14"/>
      <c r="T584" s="14">
        <v>0</v>
      </c>
      <c r="U584" s="14">
        <f t="shared" si="93"/>
        <v>0</v>
      </c>
      <c r="V584" s="14">
        <f t="shared" si="94"/>
        <v>0</v>
      </c>
      <c r="X584" s="85">
        <f t="shared" si="84"/>
        <v>0</v>
      </c>
      <c r="Y584" s="21" t="str">
        <f t="shared" si="89"/>
        <v/>
      </c>
      <c r="AA584" s="55">
        <f t="shared" si="95"/>
        <v>0</v>
      </c>
      <c r="AB584" s="55" t="str">
        <f t="shared" si="96"/>
        <v/>
      </c>
      <c r="AC584" s="55">
        <f t="shared" si="85"/>
        <v>211412.79452054793</v>
      </c>
    </row>
    <row r="585" spans="1:29">
      <c r="A585" t="s">
        <v>314</v>
      </c>
      <c r="B585" s="16" t="str">
        <f>INDEX(emprunts!C:C,MATCH($A585,emprunts!A:A,0))</f>
        <v>Société Générale</v>
      </c>
      <c r="C585" s="18">
        <f>INDEX(emprunts!M:M,MATCH($A585,emprunts!$A:$A,0))</f>
        <v>40530</v>
      </c>
      <c r="D585" s="18">
        <f>IF(INDEX(emprunts!O:O,MATCH($A585,emprunts!$A:$A,0))="",INDEX(emprunts!N:N,MATCH($A585,emprunts!$A:$A,0)),MIN(INDEX(emprunts!N:N,MATCH($A585,emprunts!$A:$A,0)),INDEX(emprunts!O:O,MATCH($A585,emprunts!$A:$A,0))))</f>
        <v>46112</v>
      </c>
      <c r="E585" s="52">
        <f>INDEX(emprunts!I:I,MATCH($A585,emprunts!$A:$A,0))</f>
        <v>15</v>
      </c>
      <c r="F585" s="18" t="str">
        <f>INDEX(emprunts!P:P,MATCH($A585,emprunts!$A:$A,0))</f>
        <v>Variable</v>
      </c>
      <c r="G585" s="126" t="str">
        <f>IF(LEFT(A585,3)="vx_","vx",INDEX(Categorie,MATCH($A585,emprunts!$A$2:$A$149,0)))</f>
        <v>Non_st</v>
      </c>
      <c r="H585">
        <v>2010</v>
      </c>
      <c r="I585">
        <f t="shared" si="82"/>
        <v>1</v>
      </c>
      <c r="N585" s="14"/>
      <c r="O585" s="14"/>
      <c r="Q585" s="14"/>
      <c r="R585" s="14"/>
      <c r="S585" s="14"/>
      <c r="T585" s="14"/>
      <c r="U585" s="14"/>
      <c r="V585" s="14" t="str">
        <f t="shared" si="94"/>
        <v/>
      </c>
      <c r="X585" s="85">
        <f t="shared" si="84"/>
        <v>0</v>
      </c>
      <c r="Y585" s="21" t="str">
        <f t="shared" si="89"/>
        <v/>
      </c>
      <c r="AA585" s="55">
        <f t="shared" si="95"/>
        <v>0</v>
      </c>
      <c r="AB585" s="55" t="str">
        <f t="shared" si="96"/>
        <v/>
      </c>
      <c r="AC585" s="55">
        <f t="shared" si="85"/>
        <v>0</v>
      </c>
    </row>
    <row r="586" spans="1:29">
      <c r="A586" t="s">
        <v>317</v>
      </c>
      <c r="B586" s="16" t="str">
        <f>INDEX(emprunts!C:C,MATCH($A586,emprunts!A:A,0))</f>
        <v>Dexia CL</v>
      </c>
      <c r="C586" s="18">
        <f>INDEX(emprunts!M:M,MATCH($A586,emprunts!$A:$A,0))</f>
        <v>40634</v>
      </c>
      <c r="D586" s="18">
        <f>IF(INDEX(emprunts!O:O,MATCH($A586,emprunts!$A:$A,0))="",INDEX(emprunts!N:N,MATCH($A586,emprunts!$A:$A,0)),MIN(INDEX(emprunts!N:N,MATCH($A586,emprunts!$A:$A,0)),INDEX(emprunts!O:O,MATCH($A586,emprunts!$A:$A,0))))</f>
        <v>41760</v>
      </c>
      <c r="E586" s="52">
        <f>INDEX(emprunts!I:I,MATCH($A586,emprunts!$A:$A,0))</f>
        <v>25</v>
      </c>
      <c r="F586" s="18" t="str">
        <f>INDEX(emprunts!P:P,MATCH($A586,emprunts!$A:$A,0))</f>
        <v>Barrière avec multiplicateur</v>
      </c>
      <c r="G586" s="126" t="str">
        <f>IF(LEFT(A586,3)="vx_","vx",INDEX(Categorie,MATCH($A586,emprunts!$A$2:$A$149,0)))</f>
        <v>Struct</v>
      </c>
      <c r="H586">
        <v>2010</v>
      </c>
      <c r="I586">
        <f t="shared" si="82"/>
        <v>0</v>
      </c>
      <c r="N586" s="14"/>
      <c r="O586" s="14"/>
      <c r="Q586" s="14"/>
      <c r="R586" s="14"/>
      <c r="S586" s="14"/>
      <c r="T586" s="14"/>
      <c r="U586" s="14"/>
      <c r="V586" s="14" t="str">
        <f t="shared" si="94"/>
        <v/>
      </c>
      <c r="X586" s="85">
        <f t="shared" si="84"/>
        <v>0</v>
      </c>
      <c r="Y586" s="21" t="str">
        <f t="shared" si="89"/>
        <v/>
      </c>
      <c r="AA586" s="55">
        <f t="shared" si="95"/>
        <v>0</v>
      </c>
      <c r="AB586" s="55">
        <f t="shared" si="96"/>
        <v>0</v>
      </c>
      <c r="AC586" s="55">
        <f t="shared" si="85"/>
        <v>0</v>
      </c>
    </row>
    <row r="587" spans="1:29">
      <c r="A587" s="1" t="s">
        <v>489</v>
      </c>
      <c r="B587" s="16" t="str">
        <f>INDEX(emprunts!C:C,MATCH($A587,emprunts!A:A,0))</f>
        <v>Dexia CL</v>
      </c>
      <c r="C587" s="18">
        <f>INDEX(emprunts!M:M,MATCH($A587,emprunts!$A:$A,0))</f>
        <v>40725</v>
      </c>
      <c r="D587" s="18">
        <f>IF(INDEX(emprunts!O:O,MATCH($A587,emprunts!$A:$A,0))="",INDEX(emprunts!N:N,MATCH($A587,emprunts!$A:$A,0)),MIN(INDEX(emprunts!N:N,MATCH($A587,emprunts!$A:$A,0)),INDEX(emprunts!O:O,MATCH($A587,emprunts!$A:$A,0))))</f>
        <v>49796</v>
      </c>
      <c r="E587" s="52">
        <f>INDEX(emprunts!I:I,MATCH($A587,emprunts!$A:$A,0))</f>
        <v>25</v>
      </c>
      <c r="F587" s="18" t="str">
        <f>INDEX(emprunts!P:P,MATCH($A587,emprunts!$A:$A,0))</f>
        <v>Barrière avec multiplicateur</v>
      </c>
      <c r="G587" s="126" t="str">
        <f>IF(LEFT(A587,3)="vx_","vx",INDEX(Categorie,MATCH($A587,emprunts!$A$2:$A$149,0)))</f>
        <v>Struct</v>
      </c>
      <c r="H587">
        <v>2010</v>
      </c>
      <c r="I587">
        <f t="shared" si="82"/>
        <v>0</v>
      </c>
      <c r="N587" s="14"/>
      <c r="O587" s="14"/>
      <c r="Q587" s="14"/>
      <c r="R587" s="14"/>
      <c r="S587" s="14"/>
      <c r="T587" s="14"/>
      <c r="U587" s="14"/>
      <c r="V587" s="14" t="str">
        <f t="shared" si="94"/>
        <v/>
      </c>
      <c r="X587" s="85">
        <f t="shared" si="84"/>
        <v>0</v>
      </c>
      <c r="Y587" s="21" t="str">
        <f t="shared" si="89"/>
        <v/>
      </c>
      <c r="AA587" s="55">
        <f t="shared" si="95"/>
        <v>0</v>
      </c>
      <c r="AB587" s="55">
        <f t="shared" si="96"/>
        <v>0</v>
      </c>
      <c r="AC587" s="55">
        <f t="shared" si="85"/>
        <v>0</v>
      </c>
    </row>
    <row r="588" spans="1:29">
      <c r="A588" s="1" t="s">
        <v>487</v>
      </c>
      <c r="B588" s="16" t="str">
        <f>INDEX(emprunts!C:C,MATCH($A588,emprunts!A:A,0))</f>
        <v>Dexia CL</v>
      </c>
      <c r="C588" s="18">
        <f>INDEX(emprunts!M:M,MATCH($A588,emprunts!$A:$A,0))</f>
        <v>40737</v>
      </c>
      <c r="D588" s="18">
        <f>IF(INDEX(emprunts!O:O,MATCH($A588,emprunts!$A:$A,0))="",INDEX(emprunts!N:N,MATCH($A588,emprunts!$A:$A,0)),MIN(INDEX(emprunts!N:N,MATCH($A588,emprunts!$A:$A,0)),INDEX(emprunts!O:O,MATCH($A588,emprunts!$A:$A,0))))</f>
        <v>42644</v>
      </c>
      <c r="E588" s="52">
        <f>INDEX(emprunts!I:I,MATCH($A588,emprunts!$A:$A,0))</f>
        <v>15</v>
      </c>
      <c r="F588" s="18" t="str">
        <f>INDEX(emprunts!P:P,MATCH($A588,emprunts!$A:$A,0))</f>
        <v>Change</v>
      </c>
      <c r="G588" s="126" t="str">
        <f>IF(LEFT(A588,3)="vx_","vx",INDEX(Categorie,MATCH($A588,emprunts!$A$2:$A$149,0)))</f>
        <v>Struct</v>
      </c>
      <c r="H588">
        <v>2010</v>
      </c>
      <c r="I588">
        <f t="shared" si="82"/>
        <v>0</v>
      </c>
      <c r="N588" s="14"/>
      <c r="O588" s="14"/>
      <c r="Q588" s="14"/>
      <c r="R588" s="14"/>
      <c r="S588" s="14"/>
      <c r="T588" s="14"/>
      <c r="U588" s="14"/>
      <c r="V588" s="14" t="str">
        <f t="shared" si="94"/>
        <v/>
      </c>
      <c r="X588" s="85">
        <f t="shared" si="84"/>
        <v>0</v>
      </c>
      <c r="Y588" s="21" t="str">
        <f t="shared" si="89"/>
        <v/>
      </c>
      <c r="AA588" s="55">
        <f t="shared" si="95"/>
        <v>0</v>
      </c>
      <c r="AB588" s="55">
        <f t="shared" si="96"/>
        <v>0</v>
      </c>
      <c r="AC588" s="55">
        <f t="shared" si="85"/>
        <v>0</v>
      </c>
    </row>
    <row r="589" spans="1:29">
      <c r="A589" t="s">
        <v>324</v>
      </c>
      <c r="B589" s="16" t="str">
        <f>INDEX(emprunts!C:C,MATCH($A589,emprunts!A:A,0))</f>
        <v>Caisse d'Épargne</v>
      </c>
      <c r="C589" s="18">
        <f>INDEX(emprunts!M:M,MATCH($A589,emprunts!$A:$A,0))</f>
        <v>40732</v>
      </c>
      <c r="D589" s="18">
        <f>IF(INDEX(emprunts!O:O,MATCH($A589,emprunts!$A:$A,0))="",INDEX(emprunts!N:N,MATCH($A589,emprunts!$A:$A,0)),MIN(INDEX(emprunts!N:N,MATCH($A589,emprunts!$A:$A,0)),INDEX(emprunts!O:O,MATCH($A589,emprunts!$A:$A,0))))</f>
        <v>46536</v>
      </c>
      <c r="E589" s="52">
        <f>INDEX(emprunts!I:I,MATCH($A589,emprunts!$A:$A,0))</f>
        <v>15</v>
      </c>
      <c r="F589" s="18" t="str">
        <f>INDEX(emprunts!P:P,MATCH($A589,emprunts!$A:$A,0))</f>
        <v>Variable</v>
      </c>
      <c r="G589" s="126" t="str">
        <f>IF(LEFT(A589,3)="vx_","vx",INDEX(Categorie,MATCH($A589,emprunts!$A$2:$A$149,0)))</f>
        <v>Non_st</v>
      </c>
      <c r="H589">
        <v>2010</v>
      </c>
      <c r="I589">
        <f t="shared" si="82"/>
        <v>0</v>
      </c>
      <c r="N589" s="14"/>
      <c r="O589" s="14"/>
      <c r="Q589" s="14"/>
      <c r="R589" s="14"/>
      <c r="S589" s="14"/>
      <c r="T589" s="14"/>
      <c r="U589" s="14"/>
      <c r="V589" s="14" t="str">
        <f t="shared" si="94"/>
        <v/>
      </c>
      <c r="X589" s="85">
        <f t="shared" si="84"/>
        <v>0</v>
      </c>
      <c r="Y589" s="21" t="str">
        <f t="shared" si="89"/>
        <v/>
      </c>
      <c r="AA589" s="55">
        <f t="shared" si="95"/>
        <v>0</v>
      </c>
      <c r="AB589" s="55">
        <f t="shared" si="96"/>
        <v>0</v>
      </c>
      <c r="AC589" s="55">
        <f t="shared" si="85"/>
        <v>0</v>
      </c>
    </row>
    <row r="590" spans="1:29">
      <c r="A590" t="s">
        <v>328</v>
      </c>
      <c r="B590" s="16" t="str">
        <f>INDEX(emprunts!C:C,MATCH($A590,emprunts!A:A,0))</f>
        <v>Caisse d'Épargne</v>
      </c>
      <c r="C590" s="18">
        <f>INDEX(emprunts!M:M,MATCH($A590,emprunts!$A:$A,0))</f>
        <v>40732</v>
      </c>
      <c r="D590" s="18">
        <f>IF(INDEX(emprunts!O:O,MATCH($A590,emprunts!$A:$A,0))="",INDEX(emprunts!N:N,MATCH($A590,emprunts!$A:$A,0)),MIN(INDEX(emprunts!N:N,MATCH($A590,emprunts!$A:$A,0)),INDEX(emprunts!O:O,MATCH($A590,emprunts!$A:$A,0))))</f>
        <v>46536</v>
      </c>
      <c r="E590" s="52">
        <f>INDEX(emprunts!I:I,MATCH($A590,emprunts!$A:$A,0))</f>
        <v>15</v>
      </c>
      <c r="F590" s="18" t="str">
        <f>INDEX(emprunts!P:P,MATCH($A590,emprunts!$A:$A,0))</f>
        <v>Variable</v>
      </c>
      <c r="G590" s="126" t="str">
        <f>IF(LEFT(A590,3)="vx_","vx",INDEX(Categorie,MATCH($A590,emprunts!$A$2:$A$149,0)))</f>
        <v>Non_st</v>
      </c>
      <c r="H590">
        <v>2010</v>
      </c>
      <c r="I590">
        <f t="shared" si="82"/>
        <v>0</v>
      </c>
      <c r="N590" s="14"/>
      <c r="O590" s="14"/>
      <c r="Q590" s="14"/>
      <c r="R590" s="14"/>
      <c r="S590" s="14"/>
      <c r="T590" s="14"/>
      <c r="U590" s="14"/>
      <c r="V590" s="14" t="str">
        <f t="shared" si="94"/>
        <v/>
      </c>
      <c r="X590" s="85">
        <f t="shared" si="84"/>
        <v>0</v>
      </c>
      <c r="Y590" s="21" t="str">
        <f t="shared" si="89"/>
        <v/>
      </c>
      <c r="AA590" s="55">
        <f t="shared" si="95"/>
        <v>0</v>
      </c>
      <c r="AB590" s="55">
        <f t="shared" si="96"/>
        <v>0</v>
      </c>
      <c r="AC590" s="55">
        <f t="shared" si="85"/>
        <v>0</v>
      </c>
    </row>
    <row r="591" spans="1:29">
      <c r="A591" t="s">
        <v>331</v>
      </c>
      <c r="B591" s="16" t="str">
        <f>INDEX(emprunts!C:C,MATCH($A591,emprunts!A:A,0))</f>
        <v>Dexia CL</v>
      </c>
      <c r="C591" s="18">
        <f>INDEX(emprunts!M:M,MATCH($A591,emprunts!$A:$A,0))</f>
        <v>40848</v>
      </c>
      <c r="D591" s="18">
        <f>IF(INDEX(emprunts!O:O,MATCH($A591,emprunts!$A:$A,0))="",INDEX(emprunts!N:N,MATCH($A591,emprunts!$A:$A,0)),MIN(INDEX(emprunts!N:N,MATCH($A591,emprunts!$A:$A,0)),INDEX(emprunts!O:O,MATCH($A591,emprunts!$A:$A,0))))</f>
        <v>43101</v>
      </c>
      <c r="E591" s="52">
        <f>INDEX(emprunts!I:I,MATCH($A591,emprunts!$A:$A,0))</f>
        <v>21.17</v>
      </c>
      <c r="F591" s="18" t="str">
        <f>INDEX(emprunts!P:P,MATCH($A591,emprunts!$A:$A,0))</f>
        <v>Barrière avec multiplicateur</v>
      </c>
      <c r="G591" s="126" t="str">
        <f>IF(LEFT(A591,3)="vx_","vx",INDEX(Categorie,MATCH($A591,emprunts!$A$2:$A$149,0)))</f>
        <v>Struct</v>
      </c>
      <c r="H591">
        <v>2010</v>
      </c>
      <c r="I591">
        <f t="shared" si="82"/>
        <v>0</v>
      </c>
      <c r="N591" s="14"/>
      <c r="O591" s="14"/>
      <c r="Q591" s="14"/>
      <c r="R591" s="14"/>
      <c r="S591" s="14"/>
      <c r="T591" s="14"/>
      <c r="U591" s="14"/>
      <c r="V591" s="14" t="str">
        <f t="shared" si="94"/>
        <v/>
      </c>
      <c r="X591" s="85">
        <f t="shared" si="84"/>
        <v>0</v>
      </c>
      <c r="Y591" s="21" t="str">
        <f t="shared" si="89"/>
        <v/>
      </c>
      <c r="AA591" s="55">
        <f t="shared" si="95"/>
        <v>0</v>
      </c>
      <c r="AB591" s="55">
        <f t="shared" si="96"/>
        <v>0</v>
      </c>
      <c r="AC591" s="55">
        <f t="shared" si="85"/>
        <v>0</v>
      </c>
    </row>
    <row r="592" spans="1:29">
      <c r="A592" t="s">
        <v>333</v>
      </c>
      <c r="B592" s="16" t="str">
        <f>INDEX(emprunts!C:C,MATCH($A592,emprunts!A:A,0))</f>
        <v>Dexia CL</v>
      </c>
      <c r="C592" s="18">
        <f>INDEX(emprunts!M:M,MATCH($A592,emprunts!$A:$A,0))</f>
        <v>40848</v>
      </c>
      <c r="D592" s="18">
        <f>IF(INDEX(emprunts!O:O,MATCH($A592,emprunts!$A:$A,0))="",INDEX(emprunts!N:N,MATCH($A592,emprunts!$A:$A,0)),MIN(INDEX(emprunts!N:N,MATCH($A592,emprunts!$A:$A,0)),INDEX(emprunts!O:O,MATCH($A592,emprunts!$A:$A,0))))</f>
        <v>41654</v>
      </c>
      <c r="E592" s="52">
        <f>INDEX(emprunts!I:I,MATCH($A592,emprunts!$A:$A,0))</f>
        <v>22</v>
      </c>
      <c r="F592" s="18" t="str">
        <f>INDEX(emprunts!P:P,MATCH($A592,emprunts!$A:$A,0))</f>
        <v>Change</v>
      </c>
      <c r="G592" s="126" t="str">
        <f>IF(LEFT(A592,3)="vx_","vx",INDEX(Categorie,MATCH($A592,emprunts!$A$2:$A$149,0)))</f>
        <v>Struct</v>
      </c>
      <c r="H592">
        <v>2010</v>
      </c>
      <c r="I592">
        <f t="shared" ref="I592:I612" si="97">1*(C592&lt;DATE(H592,12,31))</f>
        <v>0</v>
      </c>
      <c r="N592" s="14"/>
      <c r="O592" s="14"/>
      <c r="Q592" s="14"/>
      <c r="R592" s="14"/>
      <c r="S592" s="14"/>
      <c r="T592" s="14"/>
      <c r="U592" s="14"/>
      <c r="V592" s="14" t="str">
        <f t="shared" si="94"/>
        <v/>
      </c>
      <c r="X592" s="85">
        <f t="shared" ref="X592:X612" si="98">SUMPRODUCT((De=$A592)*(année_refi=$H592),Montant_transfere)</f>
        <v>0</v>
      </c>
      <c r="Y592" s="21" t="str">
        <f t="shared" si="89"/>
        <v/>
      </c>
      <c r="AA592" s="55">
        <f t="shared" si="95"/>
        <v>0</v>
      </c>
      <c r="AB592" s="55">
        <f t="shared" si="96"/>
        <v>0</v>
      </c>
      <c r="AC592" s="55">
        <f t="shared" si="85"/>
        <v>0</v>
      </c>
    </row>
    <row r="593" spans="1:29">
      <c r="A593" t="s">
        <v>336</v>
      </c>
      <c r="B593" s="16" t="str">
        <f>INDEX(emprunts!C:C,MATCH($A593,emprunts!A:A,0))</f>
        <v>Dexia CL</v>
      </c>
      <c r="C593" s="18">
        <f>INDEX(emprunts!M:M,MATCH($A593,emprunts!$A:$A,0))</f>
        <v>40878</v>
      </c>
      <c r="D593" s="18">
        <f>IF(INDEX(emprunts!O:O,MATCH($A593,emprunts!$A:$A,0))="",INDEX(emprunts!N:N,MATCH($A593,emprunts!$A:$A,0)),MIN(INDEX(emprunts!N:N,MATCH($A593,emprunts!$A:$A,0)),INDEX(emprunts!O:O,MATCH($A593,emprunts!$A:$A,0))))</f>
        <v>41244</v>
      </c>
      <c r="E593" s="52">
        <f>INDEX(emprunts!I:I,MATCH($A593,emprunts!$A:$A,0))</f>
        <v>18</v>
      </c>
      <c r="F593" s="18" t="str">
        <f>INDEX(emprunts!P:P,MATCH($A593,emprunts!$A:$A,0))</f>
        <v>Change</v>
      </c>
      <c r="G593" s="126" t="str">
        <f>IF(LEFT(A593,3)="vx_","vx",INDEX(Categorie,MATCH($A593,emprunts!$A$2:$A$149,0)))</f>
        <v>Struct</v>
      </c>
      <c r="H593">
        <v>2010</v>
      </c>
      <c r="I593">
        <f t="shared" si="97"/>
        <v>0</v>
      </c>
      <c r="N593" s="14"/>
      <c r="O593" s="14"/>
      <c r="Q593" s="14"/>
      <c r="R593" s="14"/>
      <c r="S593" s="14"/>
      <c r="T593" s="14"/>
      <c r="U593" s="14"/>
      <c r="V593" s="14" t="str">
        <f t="shared" si="94"/>
        <v/>
      </c>
      <c r="X593" s="85">
        <f t="shared" si="98"/>
        <v>0</v>
      </c>
      <c r="Y593" s="21" t="str">
        <f t="shared" si="89"/>
        <v/>
      </c>
      <c r="AA593" s="55">
        <f t="shared" si="95"/>
        <v>0</v>
      </c>
      <c r="AB593" s="55">
        <f t="shared" si="96"/>
        <v>0</v>
      </c>
      <c r="AC593" s="55">
        <f t="shared" si="85"/>
        <v>0</v>
      </c>
    </row>
    <row r="594" spans="1:29">
      <c r="A594" t="s">
        <v>338</v>
      </c>
      <c r="B594" s="16" t="str">
        <f>INDEX(emprunts!C:C,MATCH($A594,emprunts!A:A,0))</f>
        <v>Dexia CL</v>
      </c>
      <c r="C594" s="18">
        <f>INDEX(emprunts!M:M,MATCH($A594,emprunts!$A:$A,0))</f>
        <v>40878</v>
      </c>
      <c r="D594" s="18">
        <f>IF(INDEX(emprunts!O:O,MATCH($A594,emprunts!$A:$A,0))="",INDEX(emprunts!N:N,MATCH($A594,emprunts!$A:$A,0)),MIN(INDEX(emprunts!N:N,MATCH($A594,emprunts!$A:$A,0)),INDEX(emprunts!O:O,MATCH($A594,emprunts!$A:$A,0))))</f>
        <v>49644</v>
      </c>
      <c r="E594" s="52">
        <f>INDEX(emprunts!I:I,MATCH($A594,emprunts!$A:$A,0))</f>
        <v>24</v>
      </c>
      <c r="F594" s="18" t="str">
        <f>INDEX(emprunts!P:P,MATCH($A594,emprunts!$A:$A,0))</f>
        <v>Variable</v>
      </c>
      <c r="G594" s="126" t="str">
        <f>IF(LEFT(A594,3)="vx_","vx",INDEX(Categorie,MATCH($A594,emprunts!$A$2:$A$149,0)))</f>
        <v>Non_st</v>
      </c>
      <c r="H594">
        <v>2010</v>
      </c>
      <c r="I594">
        <f t="shared" si="97"/>
        <v>0</v>
      </c>
      <c r="N594" s="14"/>
      <c r="O594" s="14"/>
      <c r="Q594" s="14"/>
      <c r="R594" s="14"/>
      <c r="S594" s="14"/>
      <c r="T594" s="14"/>
      <c r="U594" s="14"/>
      <c r="V594" s="14" t="str">
        <f t="shared" si="94"/>
        <v/>
      </c>
      <c r="X594" s="85">
        <f t="shared" si="98"/>
        <v>0</v>
      </c>
      <c r="Y594" s="21" t="str">
        <f t="shared" si="89"/>
        <v/>
      </c>
      <c r="AA594" s="55">
        <f t="shared" si="95"/>
        <v>0</v>
      </c>
      <c r="AB594" s="55">
        <f t="shared" si="96"/>
        <v>0</v>
      </c>
      <c r="AC594" s="55">
        <f t="shared" si="85"/>
        <v>0</v>
      </c>
    </row>
    <row r="595" spans="1:29">
      <c r="A595" t="s">
        <v>339</v>
      </c>
      <c r="B595" s="16" t="str">
        <f>INDEX(emprunts!C:C,MATCH($A595,emprunts!A:A,0))</f>
        <v>Caisse d'Épargne</v>
      </c>
      <c r="C595" s="18">
        <f>INDEX(emprunts!M:M,MATCH($A595,emprunts!$A:$A,0))</f>
        <v>40913</v>
      </c>
      <c r="D595" s="18">
        <f>IF(INDEX(emprunts!O:O,MATCH($A595,emprunts!$A:$A,0))="",INDEX(emprunts!N:N,MATCH($A595,emprunts!$A:$A,0)),MIN(INDEX(emprunts!N:N,MATCH($A595,emprunts!$A:$A,0)),INDEX(emprunts!O:O,MATCH($A595,emprunts!$A:$A,0))))</f>
        <v>48218</v>
      </c>
      <c r="E595" s="52">
        <f>INDEX(emprunts!I:I,MATCH($A595,emprunts!$A:$A,0))</f>
        <v>20</v>
      </c>
      <c r="F595" s="18" t="str">
        <f>INDEX(emprunts!P:P,MATCH($A595,emprunts!$A:$A,0))</f>
        <v>Barrière</v>
      </c>
      <c r="G595" s="126" t="str">
        <f>IF(LEFT(A595,3)="vx_","vx",INDEX(Categorie,MATCH($A595,emprunts!$A$2:$A$149,0)))</f>
        <v>Struct</v>
      </c>
      <c r="H595">
        <v>2010</v>
      </c>
      <c r="I595">
        <f t="shared" si="97"/>
        <v>0</v>
      </c>
      <c r="N595" s="14"/>
      <c r="O595" s="14"/>
      <c r="Q595" s="14"/>
      <c r="R595" s="14"/>
      <c r="S595" s="14"/>
      <c r="T595" s="14"/>
      <c r="U595" s="14"/>
      <c r="V595" s="14" t="str">
        <f t="shared" si="94"/>
        <v/>
      </c>
      <c r="X595" s="85">
        <f t="shared" si="98"/>
        <v>0</v>
      </c>
      <c r="Y595" s="21" t="str">
        <f t="shared" si="89"/>
        <v/>
      </c>
      <c r="AA595" s="55">
        <f t="shared" si="95"/>
        <v>0</v>
      </c>
      <c r="AB595" s="55">
        <f t="shared" si="96"/>
        <v>0</v>
      </c>
      <c r="AC595" s="55">
        <f t="shared" ref="AC595:AC613" si="99">MAX(0,(C595-DATE(H595,1,1))/365)*0+MAX(0,MIN(1,(MIN(DATE(H595,12,31),D595)-MAX(DATE(H595,1,1),C595))/365))*(O595+X595+R595/2)</f>
        <v>0</v>
      </c>
    </row>
    <row r="596" spans="1:29">
      <c r="A596" t="s">
        <v>342</v>
      </c>
      <c r="B596" s="16" t="str">
        <f>INDEX(emprunts!C:C,MATCH($A596,emprunts!A:A,0))</f>
        <v>CDC</v>
      </c>
      <c r="C596" s="18">
        <f>INDEX(emprunts!M:M,MATCH($A596,emprunts!$A:$A,0))</f>
        <v>40991</v>
      </c>
      <c r="D596" s="18">
        <f>IF(INDEX(emprunts!O:O,MATCH($A596,emprunts!$A:$A,0))="",INDEX(emprunts!N:N,MATCH($A596,emprunts!$A:$A,0)),MIN(INDEX(emprunts!N:N,MATCH($A596,emprunts!$A:$A,0)),INDEX(emprunts!O:O,MATCH($A596,emprunts!$A:$A,0))))</f>
        <v>46661</v>
      </c>
      <c r="E596" s="52">
        <f>INDEX(emprunts!I:I,MATCH($A596,emprunts!$A:$A,0))</f>
        <v>15.25</v>
      </c>
      <c r="F596" s="18" t="str">
        <f>INDEX(emprunts!P:P,MATCH($A596,emprunts!$A:$A,0))</f>
        <v>Variable</v>
      </c>
      <c r="G596" s="126" t="str">
        <f>IF(LEFT(A596,3)="vx_","vx",INDEX(Categorie,MATCH($A596,emprunts!$A$2:$A$149,0)))</f>
        <v>Non_st</v>
      </c>
      <c r="H596">
        <v>2010</v>
      </c>
      <c r="I596">
        <f t="shared" si="97"/>
        <v>0</v>
      </c>
      <c r="N596" s="14"/>
      <c r="O596" s="14"/>
      <c r="Q596" s="14"/>
      <c r="R596" s="14"/>
      <c r="S596" s="14"/>
      <c r="T596" s="14"/>
      <c r="U596" s="14"/>
      <c r="V596" s="14" t="str">
        <f t="shared" si="94"/>
        <v/>
      </c>
      <c r="X596" s="85">
        <f t="shared" si="98"/>
        <v>0</v>
      </c>
      <c r="Y596" s="21" t="str">
        <f t="shared" si="89"/>
        <v/>
      </c>
      <c r="AA596" s="55">
        <f t="shared" si="95"/>
        <v>0</v>
      </c>
      <c r="AB596" s="55">
        <f t="shared" si="96"/>
        <v>0</v>
      </c>
      <c r="AC596" s="55">
        <f t="shared" si="99"/>
        <v>0</v>
      </c>
    </row>
    <row r="597" spans="1:29">
      <c r="A597" s="1" t="s">
        <v>540</v>
      </c>
      <c r="B597" s="16" t="str">
        <f>INDEX(emprunts!C:C,MATCH($A597,emprunts!A:A,0))</f>
        <v>Crédit Mutuel</v>
      </c>
      <c r="C597" s="18">
        <f>INDEX(emprunts!M:M,MATCH($A597,emprunts!$A:$A,0))</f>
        <v>36495</v>
      </c>
      <c r="D597" s="18">
        <f>IF(INDEX(emprunts!O:O,MATCH($A597,emprunts!$A:$A,0))="",INDEX(emprunts!N:N,MATCH($A597,emprunts!$A:$A,0)),MIN(INDEX(emprunts!N:N,MATCH($A597,emprunts!$A:$A,0)),INDEX(emprunts!O:O,MATCH($A597,emprunts!$A:$A,0))))</f>
        <v>41973</v>
      </c>
      <c r="E597" s="52">
        <f>INDEX(emprunts!I:I,MATCH($A597,emprunts!$A:$A,0))</f>
        <v>15</v>
      </c>
      <c r="F597" s="18" t="str">
        <f>INDEX(emprunts!P:P,MATCH($A597,emprunts!$A:$A,0))</f>
        <v>Fixe à phase</v>
      </c>
      <c r="G597" s="126" t="str">
        <f>IF(LEFT(A597,3)="vx_","vx",INDEX(Categorie,MATCH($A597,emprunts!$A$2:$A$149,0)))</f>
        <v>Non_st</v>
      </c>
      <c r="H597" s="6">
        <v>2011</v>
      </c>
      <c r="I597">
        <f t="shared" si="97"/>
        <v>1</v>
      </c>
      <c r="J597" s="4"/>
      <c r="K597" t="s">
        <v>155</v>
      </c>
      <c r="L597" s="5">
        <v>36860</v>
      </c>
      <c r="M597" s="5">
        <v>36860</v>
      </c>
      <c r="N597" s="14">
        <v>1524490.17</v>
      </c>
      <c r="O597" s="14">
        <v>436786</v>
      </c>
      <c r="P597" s="4">
        <v>2.52E-2</v>
      </c>
      <c r="Q597" s="14">
        <v>19782.189999999999</v>
      </c>
      <c r="R597" s="14">
        <v>135794.97</v>
      </c>
      <c r="S597" s="14"/>
      <c r="T597" s="14">
        <v>932</v>
      </c>
      <c r="U597" s="14">
        <f t="shared" ref="U597:U598" si="100">SUM(Q597:S597)</f>
        <v>155577.16</v>
      </c>
      <c r="V597" s="14">
        <f t="shared" si="94"/>
        <v>0</v>
      </c>
      <c r="W597" s="85"/>
      <c r="X597" s="85">
        <f t="shared" si="98"/>
        <v>0</v>
      </c>
      <c r="Y597" s="21">
        <f t="shared" si="89"/>
        <v>3.6970476403891776E-2</v>
      </c>
      <c r="AA597" s="55">
        <f t="shared" si="95"/>
        <v>18607.269999999997</v>
      </c>
      <c r="AB597" s="55">
        <f t="shared" si="96"/>
        <v>-3.0000000027939677E-2</v>
      </c>
      <c r="AC597" s="55">
        <f t="shared" si="99"/>
        <v>503300.79052054795</v>
      </c>
    </row>
    <row r="598" spans="1:29">
      <c r="A598" t="s">
        <v>10</v>
      </c>
      <c r="B598" s="16" t="str">
        <f>INDEX(emprunts!C:C,MATCH($A598,emprunts!A:A,0))</f>
        <v>Crédit Mutuel</v>
      </c>
      <c r="C598" s="18">
        <f>INDEX(emprunts!M:M,MATCH($A598,emprunts!$A:$A,0))</f>
        <v>36950</v>
      </c>
      <c r="D598" s="18">
        <f>IF(INDEX(emprunts!O:O,MATCH($A598,emprunts!$A:$A,0))="",INDEX(emprunts!N:N,MATCH($A598,emprunts!$A:$A,0)),MIN(INDEX(emprunts!N:N,MATCH($A598,emprunts!$A:$A,0)),INDEX(emprunts!O:O,MATCH($A598,emprunts!$A:$A,0))))</f>
        <v>42429</v>
      </c>
      <c r="E598" s="52">
        <f>INDEX(emprunts!I:I,MATCH($A598,emprunts!$A:$A,0))</f>
        <v>15</v>
      </c>
      <c r="F598" s="18" t="str">
        <f>INDEX(emprunts!P:P,MATCH($A598,emprunts!$A:$A,0))</f>
        <v>Fixe</v>
      </c>
      <c r="G598" s="126" t="str">
        <f>IF(LEFT(A598,3)="vx_","vx",INDEX(Categorie,MATCH($A598,emprunts!$A$2:$A$149,0)))</f>
        <v>Non_st</v>
      </c>
      <c r="H598">
        <v>2011</v>
      </c>
      <c r="I598">
        <f t="shared" si="97"/>
        <v>1</v>
      </c>
      <c r="L598" s="5">
        <v>37315</v>
      </c>
      <c r="M598" s="5">
        <v>38045</v>
      </c>
      <c r="N598" s="14"/>
      <c r="O598" s="14">
        <v>234537</v>
      </c>
      <c r="P598" s="4">
        <v>2.8029999999999999E-2</v>
      </c>
      <c r="Q598" s="14">
        <v>9943.43</v>
      </c>
      <c r="R598" s="14">
        <v>46907.3</v>
      </c>
      <c r="S598" s="14"/>
      <c r="T598" s="14">
        <v>5496.35</v>
      </c>
      <c r="U598" s="14">
        <f t="shared" si="100"/>
        <v>56850.73</v>
      </c>
      <c r="V598" s="14">
        <f t="shared" si="94"/>
        <v>0</v>
      </c>
      <c r="X598" s="85">
        <f t="shared" si="98"/>
        <v>0</v>
      </c>
      <c r="Y598" s="21">
        <f t="shared" si="89"/>
        <v>2.2210063034846805E-2</v>
      </c>
      <c r="AA598" s="55">
        <f t="shared" si="95"/>
        <v>5714.2900000000009</v>
      </c>
      <c r="AB598" s="55">
        <f t="shared" si="96"/>
        <v>0.29999999998835847</v>
      </c>
      <c r="AC598" s="55">
        <f t="shared" si="99"/>
        <v>257283.82630136987</v>
      </c>
    </row>
    <row r="599" spans="1:29">
      <c r="A599" t="s">
        <v>28</v>
      </c>
      <c r="B599" s="16" t="str">
        <f>INDEX(emprunts!C:C,MATCH($A599,emprunts!A:A,0))</f>
        <v>CDC</v>
      </c>
      <c r="C599" s="18">
        <f>INDEX(emprunts!M:M,MATCH($A599,emprunts!$A:$A,0))</f>
        <v>37288</v>
      </c>
      <c r="D599" s="18">
        <f>IF(INDEX(emprunts!O:O,MATCH($A599,emprunts!$A:$A,0))="",INDEX(emprunts!N:N,MATCH($A599,emprunts!$A:$A,0)),MIN(INDEX(emprunts!N:N,MATCH($A599,emprunts!$A:$A,0)),INDEX(emprunts!O:O,MATCH($A599,emprunts!$A:$A,0))))</f>
        <v>44593</v>
      </c>
      <c r="E599" s="52">
        <f>INDEX(emprunts!I:I,MATCH($A599,emprunts!$A:$A,0))</f>
        <v>20</v>
      </c>
      <c r="F599" s="18" t="str">
        <f>INDEX(emprunts!P:P,MATCH($A599,emprunts!$A:$A,0))</f>
        <v>Livret A</v>
      </c>
      <c r="G599" s="126" t="str">
        <f>IF(LEFT(A599,3)="vx_","vx",INDEX(Categorie,MATCH($A599,emprunts!$A$2:$A$149,0)))</f>
        <v>Livr_A</v>
      </c>
      <c r="H599">
        <v>2011</v>
      </c>
      <c r="I599">
        <f t="shared" si="97"/>
        <v>1</v>
      </c>
      <c r="L599" s="5">
        <v>37653</v>
      </c>
      <c r="M599" s="5">
        <v>37653</v>
      </c>
      <c r="N599" s="14">
        <v>2137796</v>
      </c>
      <c r="O599" s="14">
        <v>1308888</v>
      </c>
      <c r="P599" s="26">
        <v>0.02</v>
      </c>
      <c r="Q599" s="14">
        <v>17740.57</v>
      </c>
      <c r="R599" s="14">
        <v>110358.16</v>
      </c>
      <c r="S599" s="14"/>
      <c r="T599" s="14">
        <v>23882.720000000001</v>
      </c>
      <c r="U599" s="14">
        <f t="shared" ref="U599" si="101">SUM(Q599:S599)</f>
        <v>128098.73000000001</v>
      </c>
      <c r="V599" s="14">
        <f t="shared" si="94"/>
        <v>0</v>
      </c>
      <c r="X599" s="85">
        <f t="shared" si="98"/>
        <v>0</v>
      </c>
      <c r="Y599" s="21">
        <f t="shared" ref="Y599:Y622" si="102">IF(AND(AA599&gt;0,YEAR(C599)&lt;=H599),AA599/AC599,"")</f>
        <v>5.1190523337245018E-3</v>
      </c>
      <c r="Z599" t="s">
        <v>657</v>
      </c>
      <c r="AA599" s="55">
        <f t="shared" si="95"/>
        <v>6963.5999999999985</v>
      </c>
      <c r="AB599" s="55">
        <f t="shared" si="96"/>
        <v>0.15999999991618097</v>
      </c>
      <c r="AC599" s="55">
        <f t="shared" si="99"/>
        <v>1360329.9099178084</v>
      </c>
    </row>
    <row r="600" spans="1:29">
      <c r="A600" t="s">
        <v>31</v>
      </c>
      <c r="B600" s="16" t="str">
        <f>INDEX(emprunts!C:C,MATCH($A600,emprunts!A:A,0))</f>
        <v>CDC</v>
      </c>
      <c r="C600" s="18">
        <f>INDEX(emprunts!M:M,MATCH($A600,emprunts!$A:$A,0))</f>
        <v>37347</v>
      </c>
      <c r="D600" s="18">
        <f>IF(INDEX(emprunts!O:O,MATCH($A600,emprunts!$A:$A,0))="",INDEX(emprunts!N:N,MATCH($A600,emprunts!$A:$A,0)),MIN(INDEX(emprunts!N:N,MATCH($A600,emprunts!$A:$A,0)),INDEX(emprunts!O:O,MATCH($A600,emprunts!$A:$A,0))))</f>
        <v>44652</v>
      </c>
      <c r="E600" s="52">
        <f>INDEX(emprunts!I:I,MATCH($A600,emprunts!$A:$A,0))</f>
        <v>20</v>
      </c>
      <c r="F600" s="18" t="str">
        <f>INDEX(emprunts!P:P,MATCH($A600,emprunts!$A:$A,0))</f>
        <v>Livret A</v>
      </c>
      <c r="G600" s="126" t="str">
        <f>IF(LEFT(A600,3)="vx_","vx",INDEX(Categorie,MATCH($A600,emprunts!$A$2:$A$149,0)))</f>
        <v>Livr_A</v>
      </c>
      <c r="H600">
        <v>2011</v>
      </c>
      <c r="I600">
        <f t="shared" si="97"/>
        <v>1</v>
      </c>
      <c r="N600" s="14"/>
      <c r="O600" s="14"/>
      <c r="Q600" s="14"/>
      <c r="R600" s="14"/>
      <c r="S600" s="14"/>
      <c r="T600" s="14"/>
      <c r="U600" s="14"/>
      <c r="V600" s="14" t="str">
        <f t="shared" si="94"/>
        <v/>
      </c>
      <c r="X600" s="85">
        <f t="shared" si="98"/>
        <v>0</v>
      </c>
      <c r="Y600" s="21" t="str">
        <f t="shared" si="102"/>
        <v/>
      </c>
      <c r="AA600" s="55">
        <f t="shared" si="95"/>
        <v>0</v>
      </c>
      <c r="AB600" s="55">
        <f t="shared" si="96"/>
        <v>0</v>
      </c>
      <c r="AC600" s="55">
        <f t="shared" si="99"/>
        <v>0</v>
      </c>
    </row>
    <row r="601" spans="1:29">
      <c r="A601" t="s">
        <v>33</v>
      </c>
      <c r="B601" s="16" t="str">
        <f>INDEX(emprunts!C:C,MATCH($A601,emprunts!A:A,0))</f>
        <v>Crédit Agricole</v>
      </c>
      <c r="C601" s="18">
        <f>INDEX(emprunts!M:M,MATCH($A601,emprunts!$A:$A,0))</f>
        <v>37361</v>
      </c>
      <c r="D601" s="18">
        <f>IF(INDEX(emprunts!O:O,MATCH($A601,emprunts!$A:$A,0))="",INDEX(emprunts!N:N,MATCH($A601,emprunts!$A:$A,0)),MIN(INDEX(emprunts!N:N,MATCH($A601,emprunts!$A:$A,0)),INDEX(emprunts!O:O,MATCH($A601,emprunts!$A:$A,0))))</f>
        <v>42843</v>
      </c>
      <c r="E601" s="52">
        <f>INDEX(emprunts!I:I,MATCH($A601,emprunts!$A:$A,0))</f>
        <v>15</v>
      </c>
      <c r="F601" s="18" t="str">
        <f>INDEX(emprunts!P:P,MATCH($A601,emprunts!$A:$A,0))</f>
        <v>Barrière hors zone EUR</v>
      </c>
      <c r="G601" s="126" t="str">
        <f>IF(LEFT(A601,3)="vx_","vx",INDEX(Categorie,MATCH($A601,emprunts!$A$2:$A$149,0)))</f>
        <v>Struct</v>
      </c>
      <c r="H601">
        <v>2011</v>
      </c>
      <c r="I601">
        <f t="shared" si="97"/>
        <v>1</v>
      </c>
      <c r="L601" s="5">
        <v>37726</v>
      </c>
      <c r="M601" s="5">
        <v>37726</v>
      </c>
      <c r="N601" s="14"/>
      <c r="O601" s="14">
        <v>6059405</v>
      </c>
      <c r="P601" s="4">
        <v>2.52E-2</v>
      </c>
      <c r="Q601" s="14">
        <v>43109.85</v>
      </c>
      <c r="R601" s="14">
        <v>893795.7</v>
      </c>
      <c r="S601" s="14"/>
      <c r="T601" s="14">
        <v>43475</v>
      </c>
      <c r="U601" s="14">
        <f t="shared" ref="U601" si="103">SUM(Q601:S601)</f>
        <v>936905.54999999993</v>
      </c>
      <c r="V601" s="14">
        <f t="shared" si="94"/>
        <v>0</v>
      </c>
      <c r="X601" s="85">
        <f t="shared" si="98"/>
        <v>0</v>
      </c>
      <c r="Y601" s="21">
        <f t="shared" si="102"/>
        <v>5.6007562280614119E-3</v>
      </c>
      <c r="AA601" s="55">
        <f t="shared" si="95"/>
        <v>36340.380000000005</v>
      </c>
      <c r="AB601" s="55">
        <f t="shared" si="96"/>
        <v>-0.29999999981373549</v>
      </c>
      <c r="AC601" s="55">
        <f t="shared" si="99"/>
        <v>6488477.362739726</v>
      </c>
    </row>
    <row r="602" spans="1:29">
      <c r="A602" t="s">
        <v>59</v>
      </c>
      <c r="B602" s="16" t="str">
        <f>INDEX(emprunts!C:C,MATCH($A602,emprunts!A:A,0))</f>
        <v>CDC</v>
      </c>
      <c r="C602" s="18">
        <f>INDEX(emprunts!M:M,MATCH($A602,emprunts!$A:$A,0))</f>
        <v>37621</v>
      </c>
      <c r="D602" s="18">
        <f>IF(INDEX(emprunts!O:O,MATCH($A602,emprunts!$A:$A,0))="",INDEX(emprunts!N:N,MATCH($A602,emprunts!$A:$A,0)),MIN(INDEX(emprunts!N:N,MATCH($A602,emprunts!$A:$A,0)),INDEX(emprunts!O:O,MATCH($A602,emprunts!$A:$A,0))))</f>
        <v>44927</v>
      </c>
      <c r="E602" s="52">
        <f>INDEX(emprunts!I:I,MATCH($A602,emprunts!$A:$A,0))</f>
        <v>20</v>
      </c>
      <c r="F602" s="18" t="str">
        <f>INDEX(emprunts!P:P,MATCH($A602,emprunts!$A:$A,0))</f>
        <v>Livret A</v>
      </c>
      <c r="G602" s="126" t="str">
        <f>IF(LEFT(A602,3)="vx_","vx",INDEX(Categorie,MATCH($A602,emprunts!$A$2:$A$149,0)))</f>
        <v>Livr_A</v>
      </c>
      <c r="H602">
        <v>2011</v>
      </c>
      <c r="I602">
        <f t="shared" si="97"/>
        <v>1</v>
      </c>
      <c r="N602" s="14"/>
      <c r="O602" s="14"/>
      <c r="Q602" s="14"/>
      <c r="R602" s="14"/>
      <c r="S602" s="14"/>
      <c r="T602" s="14"/>
      <c r="U602" s="14"/>
      <c r="V602" s="14" t="str">
        <f t="shared" si="94"/>
        <v/>
      </c>
      <c r="X602" s="85">
        <f t="shared" si="98"/>
        <v>0</v>
      </c>
      <c r="Y602" s="21" t="str">
        <f t="shared" si="102"/>
        <v/>
      </c>
      <c r="AA602" s="55">
        <f t="shared" si="95"/>
        <v>0</v>
      </c>
      <c r="AB602" s="55">
        <f t="shared" si="96"/>
        <v>0</v>
      </c>
      <c r="AC602" s="55">
        <f t="shared" si="99"/>
        <v>0</v>
      </c>
    </row>
    <row r="603" spans="1:29">
      <c r="A603" t="s">
        <v>86</v>
      </c>
      <c r="B603" s="16" t="str">
        <f>INDEX(emprunts!C:C,MATCH($A603,emprunts!A:A,0))</f>
        <v>Caisse d'Épargne</v>
      </c>
      <c r="C603" s="18">
        <f>INDEX(emprunts!M:M,MATCH($A603,emprunts!$A:$A,0))</f>
        <v>38022</v>
      </c>
      <c r="D603" s="18">
        <f>IF(INDEX(emprunts!O:O,MATCH($A603,emprunts!$A:$A,0))="",INDEX(emprunts!N:N,MATCH($A603,emprunts!$A:$A,0)),MIN(INDEX(emprunts!N:N,MATCH($A603,emprunts!$A:$A,0)),INDEX(emprunts!O:O,MATCH($A603,emprunts!$A:$A,0))))</f>
        <v>40719</v>
      </c>
      <c r="E603" s="52">
        <f>INDEX(emprunts!I:I,MATCH($A603,emprunts!$A:$A,0))</f>
        <v>7</v>
      </c>
      <c r="F603" s="18" t="str">
        <f>INDEX(emprunts!P:P,MATCH($A603,emprunts!$A:$A,0))</f>
        <v>Fixe</v>
      </c>
      <c r="G603" s="126" t="str">
        <f>IF(LEFT(A603,3)="vx_","vx",INDEX(Categorie,MATCH($A603,emprunts!$A$2:$A$149,0)))</f>
        <v>Non_st</v>
      </c>
      <c r="H603">
        <v>2011</v>
      </c>
      <c r="I603">
        <f t="shared" si="97"/>
        <v>1</v>
      </c>
      <c r="N603" s="14"/>
      <c r="O603" s="14"/>
      <c r="Q603" s="14"/>
      <c r="R603" s="14"/>
      <c r="S603" s="14"/>
      <c r="T603" s="14"/>
      <c r="U603" s="14"/>
      <c r="V603" s="14" t="str">
        <f t="shared" si="94"/>
        <v/>
      </c>
      <c r="X603" s="85">
        <f t="shared" si="98"/>
        <v>0</v>
      </c>
      <c r="Y603" s="21" t="str">
        <f t="shared" si="102"/>
        <v/>
      </c>
      <c r="AA603" s="55">
        <f t="shared" si="95"/>
        <v>-23164.09</v>
      </c>
      <c r="AB603" s="55">
        <f t="shared" si="96"/>
        <v>-599592</v>
      </c>
      <c r="AC603" s="55">
        <f t="shared" si="99"/>
        <v>0</v>
      </c>
    </row>
    <row r="604" spans="1:29">
      <c r="A604" t="s">
        <v>123</v>
      </c>
      <c r="B604" s="16" t="str">
        <f>INDEX(emprunts!C:C,MATCH($A604,emprunts!A:A,0))</f>
        <v>Crédit Mutuel</v>
      </c>
      <c r="C604" s="18">
        <f>INDEX(emprunts!M:M,MATCH($A604,emprunts!$A:$A,0))</f>
        <v>38435</v>
      </c>
      <c r="D604" s="18">
        <f>IF(INDEX(emprunts!O:O,MATCH($A604,emprunts!$A:$A,0))="",INDEX(emprunts!N:N,MATCH($A604,emprunts!$A:$A,0)),MIN(INDEX(emprunts!N:N,MATCH($A604,emprunts!$A:$A,0)),INDEX(emprunts!O:O,MATCH($A604,emprunts!$A:$A,0))))</f>
        <v>40260</v>
      </c>
      <c r="E604" s="52">
        <f>INDEX(emprunts!I:I,MATCH($A604,emprunts!$A:$A,0))</f>
        <v>5</v>
      </c>
      <c r="F604" s="18" t="str">
        <f>INDEX(emprunts!P:P,MATCH($A604,emprunts!$A:$A,0))</f>
        <v>Fixe</v>
      </c>
      <c r="G604" s="126" t="str">
        <f>IF(LEFT(A604,3)="vx_","vx",INDEX(Categorie,MATCH($A604,emprunts!$A$2:$A$149,0)))</f>
        <v>Non_st</v>
      </c>
      <c r="H604">
        <v>2011</v>
      </c>
      <c r="I604">
        <f t="shared" si="97"/>
        <v>1</v>
      </c>
      <c r="N604" s="14"/>
      <c r="O604" s="14"/>
      <c r="Q604" s="14"/>
      <c r="R604" s="14"/>
      <c r="S604" s="14"/>
      <c r="T604" s="14"/>
      <c r="U604" s="14"/>
      <c r="V604" s="14" t="str">
        <f t="shared" si="94"/>
        <v/>
      </c>
      <c r="X604" s="85">
        <f t="shared" si="98"/>
        <v>0</v>
      </c>
      <c r="Y604" s="21" t="str">
        <f t="shared" si="102"/>
        <v/>
      </c>
      <c r="AA604" s="55">
        <f t="shared" si="95"/>
        <v>-9541.0499999999993</v>
      </c>
      <c r="AB604" s="55">
        <f t="shared" si="96"/>
        <v>0</v>
      </c>
      <c r="AC604" s="55">
        <f t="shared" si="99"/>
        <v>0</v>
      </c>
    </row>
    <row r="605" spans="1:29">
      <c r="A605" t="s">
        <v>183</v>
      </c>
      <c r="B605" s="16" t="str">
        <f>INDEX(emprunts!C:C,MATCH($A605,emprunts!A:A,0))</f>
        <v>CDC</v>
      </c>
      <c r="C605" s="18">
        <f>INDEX(emprunts!M:M,MATCH($A605,emprunts!$A:$A,0))</f>
        <v>38473</v>
      </c>
      <c r="D605" s="18">
        <f>IF(INDEX(emprunts!O:O,MATCH($A605,emprunts!$A:$A,0))="",INDEX(emprunts!N:N,MATCH($A605,emprunts!$A:$A,0)),MIN(INDEX(emprunts!N:N,MATCH($A605,emprunts!$A:$A,0)),INDEX(emprunts!O:O,MATCH($A605,emprunts!$A:$A,0))))</f>
        <v>40663</v>
      </c>
      <c r="E605" s="52">
        <f>INDEX(emprunts!I:I,MATCH($A605,emprunts!$A:$A,0))</f>
        <v>6</v>
      </c>
      <c r="F605" s="18" t="str">
        <f>INDEX(emprunts!P:P,MATCH($A605,emprunts!$A:$A,0))</f>
        <v>Variable</v>
      </c>
      <c r="G605" s="126" t="str">
        <f>IF(LEFT(A605,3)="vx_","vx",INDEX(Categorie,MATCH($A605,emprunts!$A$2:$A$149,0)))</f>
        <v>Non_st</v>
      </c>
      <c r="H605">
        <v>2011</v>
      </c>
      <c r="I605">
        <f t="shared" si="97"/>
        <v>1</v>
      </c>
      <c r="N605" s="14"/>
      <c r="O605" s="14"/>
      <c r="Q605" s="14"/>
      <c r="R605" s="14"/>
      <c r="S605" s="14"/>
      <c r="T605" s="14"/>
      <c r="U605" s="14"/>
      <c r="V605" s="14" t="str">
        <f t="shared" si="94"/>
        <v/>
      </c>
      <c r="X605" s="85">
        <f t="shared" si="98"/>
        <v>0</v>
      </c>
      <c r="Y605" s="21" t="str">
        <f t="shared" si="102"/>
        <v/>
      </c>
      <c r="AA605" s="55">
        <f t="shared" si="95"/>
        <v>0</v>
      </c>
      <c r="AB605" s="55">
        <f t="shared" si="96"/>
        <v>0</v>
      </c>
      <c r="AC605" s="55">
        <f t="shared" si="99"/>
        <v>0</v>
      </c>
    </row>
    <row r="606" spans="1:29">
      <c r="A606" t="s">
        <v>185</v>
      </c>
      <c r="B606" s="16" t="str">
        <f>INDEX(emprunts!C:C,MATCH($A606,emprunts!A:A,0))</f>
        <v>CDC</v>
      </c>
      <c r="C606" s="18">
        <f>INDEX(emprunts!M:M,MATCH($A606,emprunts!$A:$A,0))</f>
        <v>38473</v>
      </c>
      <c r="D606" s="18">
        <f>IF(INDEX(emprunts!O:O,MATCH($A606,emprunts!$A:$A,0))="",INDEX(emprunts!N:N,MATCH($A606,emprunts!$A:$A,0)),MIN(INDEX(emprunts!N:N,MATCH($A606,emprunts!$A:$A,0)),INDEX(emprunts!O:O,MATCH($A606,emprunts!$A:$A,0))))</f>
        <v>41393</v>
      </c>
      <c r="E606" s="52">
        <f>INDEX(emprunts!I:I,MATCH($A606,emprunts!$A:$A,0))</f>
        <v>8</v>
      </c>
      <c r="F606" s="18" t="str">
        <f>INDEX(emprunts!P:P,MATCH($A606,emprunts!$A:$A,0))</f>
        <v>Variable</v>
      </c>
      <c r="G606" s="126" t="str">
        <f>IF(LEFT(A606,3)="vx_","vx",INDEX(Categorie,MATCH($A606,emprunts!$A$2:$A$149,0)))</f>
        <v>Non_st</v>
      </c>
      <c r="H606">
        <v>2011</v>
      </c>
      <c r="I606">
        <f t="shared" si="97"/>
        <v>1</v>
      </c>
      <c r="N606" s="14"/>
      <c r="O606" s="14">
        <v>917802</v>
      </c>
      <c r="P606" s="4">
        <v>2.3153E-2</v>
      </c>
      <c r="Q606" s="14">
        <v>19121.43</v>
      </c>
      <c r="R606" s="14">
        <v>442911.9</v>
      </c>
      <c r="S606" s="14"/>
      <c r="T606" s="14">
        <v>14195.54</v>
      </c>
      <c r="U606" s="14">
        <f t="shared" ref="U606" si="104">SUM(Q606:S606)</f>
        <v>462033.33</v>
      </c>
      <c r="V606" s="14">
        <f t="shared" si="94"/>
        <v>0</v>
      </c>
      <c r="X606" s="85">
        <f t="shared" si="98"/>
        <v>0</v>
      </c>
      <c r="Y606" s="21">
        <f t="shared" si="102"/>
        <v>9.2336600366893246E-3</v>
      </c>
      <c r="AA606" s="55">
        <f t="shared" si="95"/>
        <v>10490.7</v>
      </c>
      <c r="AB606" s="55">
        <f t="shared" si="96"/>
        <v>-0.10000000009313226</v>
      </c>
      <c r="AC606" s="55">
        <f t="shared" si="99"/>
        <v>1136136.6953424658</v>
      </c>
    </row>
    <row r="607" spans="1:29">
      <c r="A607" t="s">
        <v>199</v>
      </c>
      <c r="B607" s="16" t="str">
        <f>INDEX(emprunts!C:C,MATCH($A607,emprunts!A:A,0))</f>
        <v>Dexia CL</v>
      </c>
      <c r="C607" s="18">
        <f>INDEX(emprunts!M:M,MATCH($A607,emprunts!$A:$A,0))</f>
        <v>38777</v>
      </c>
      <c r="D607" s="18">
        <f>IF(INDEX(emprunts!O:O,MATCH($A607,emprunts!$A:$A,0))="",INDEX(emprunts!N:N,MATCH($A607,emprunts!$A:$A,0)),MIN(INDEX(emprunts!N:N,MATCH($A607,emprunts!$A:$A,0)),INDEX(emprunts!O:O,MATCH($A607,emprunts!$A:$A,0))))</f>
        <v>40452</v>
      </c>
      <c r="E607" s="52">
        <f>INDEX(emprunts!I:I,MATCH($A607,emprunts!$A:$A,0))</f>
        <v>16.25</v>
      </c>
      <c r="F607" s="18" t="str">
        <f>INDEX(emprunts!P:P,MATCH($A607,emprunts!$A:$A,0))</f>
        <v>Change</v>
      </c>
      <c r="G607" s="126" t="str">
        <f>IF(LEFT(A607,3)="vx_","vx",INDEX(Categorie,MATCH($A607,emprunts!$A$2:$A$149,0)))</f>
        <v>Struct</v>
      </c>
      <c r="H607">
        <v>2011</v>
      </c>
      <c r="I607">
        <f t="shared" si="97"/>
        <v>1</v>
      </c>
      <c r="N607" s="14"/>
      <c r="O607" s="14"/>
      <c r="Q607" s="14"/>
      <c r="R607" s="14"/>
      <c r="S607" s="14"/>
      <c r="T607" s="14"/>
      <c r="U607" s="14"/>
      <c r="V607" s="14" t="str">
        <f t="shared" si="94"/>
        <v/>
      </c>
      <c r="X607" s="85">
        <f t="shared" si="98"/>
        <v>0</v>
      </c>
      <c r="Y607" s="21" t="str">
        <f t="shared" si="102"/>
        <v/>
      </c>
      <c r="AA607" s="55">
        <f t="shared" si="95"/>
        <v>-132806.07</v>
      </c>
      <c r="AB607" s="55">
        <f t="shared" si="96"/>
        <v>0</v>
      </c>
      <c r="AC607" s="55">
        <f t="shared" si="99"/>
        <v>0</v>
      </c>
    </row>
    <row r="608" spans="1:29">
      <c r="A608" t="s">
        <v>204</v>
      </c>
      <c r="B608" s="16" t="str">
        <f>INDEX(emprunts!C:C,MATCH($A608,emprunts!A:A,0))</f>
        <v>Crédit Agricole</v>
      </c>
      <c r="C608" s="18">
        <f>INDEX(emprunts!M:M,MATCH($A608,emprunts!$A:$A,0))</f>
        <v>38782</v>
      </c>
      <c r="D608" s="18">
        <f>IF(INDEX(emprunts!O:O,MATCH($A608,emprunts!$A:$A,0))="",INDEX(emprunts!N:N,MATCH($A608,emprunts!$A:$A,0)),MIN(INDEX(emprunts!N:N,MATCH($A608,emprunts!$A:$A,0)),INDEX(emprunts!O:O,MATCH($A608,emprunts!$A:$A,0))))</f>
        <v>44257</v>
      </c>
      <c r="E608" s="52">
        <f>INDEX(emprunts!I:I,MATCH($A608,emprunts!$A:$A,0))</f>
        <v>15</v>
      </c>
      <c r="F608" s="18" t="str">
        <f>INDEX(emprunts!P:P,MATCH($A608,emprunts!$A:$A,0))</f>
        <v>Barrière</v>
      </c>
      <c r="G608" s="126" t="str">
        <f>IF(LEFT(A608,3)="vx_","vx",INDEX(Categorie,MATCH($A608,emprunts!$A$2:$A$149,0)))</f>
        <v>Struct</v>
      </c>
      <c r="H608">
        <v>2011</v>
      </c>
      <c r="I608">
        <f t="shared" si="97"/>
        <v>1</v>
      </c>
      <c r="N608" s="14"/>
      <c r="O608" s="14"/>
      <c r="Q608" s="14"/>
      <c r="R608" s="14"/>
      <c r="S608" s="14"/>
      <c r="T608" s="14"/>
      <c r="U608" s="14"/>
      <c r="V608" s="14" t="str">
        <f t="shared" si="94"/>
        <v/>
      </c>
      <c r="X608" s="85">
        <f t="shared" si="98"/>
        <v>0</v>
      </c>
      <c r="Y608" s="21" t="str">
        <f t="shared" si="102"/>
        <v/>
      </c>
      <c r="AA608" s="55">
        <f t="shared" si="95"/>
        <v>0</v>
      </c>
      <c r="AB608" s="55">
        <f t="shared" si="96"/>
        <v>0</v>
      </c>
      <c r="AC608" s="55">
        <f t="shared" si="99"/>
        <v>0</v>
      </c>
    </row>
    <row r="609" spans="1:29">
      <c r="A609" t="s">
        <v>207</v>
      </c>
      <c r="B609" s="16" t="str">
        <f>INDEX(emprunts!C:C,MATCH($A609,emprunts!A:A,0))</f>
        <v>Crédit Agricole</v>
      </c>
      <c r="C609" s="18">
        <f>INDEX(emprunts!M:M,MATCH($A609,emprunts!$A:$A,0))</f>
        <v>38782</v>
      </c>
      <c r="D609" s="18">
        <f>IF(INDEX(emprunts!O:O,MATCH($A609,emprunts!$A:$A,0))="",INDEX(emprunts!N:N,MATCH($A609,emprunts!$A:$A,0)),MIN(INDEX(emprunts!N:N,MATCH($A609,emprunts!$A:$A,0)),INDEX(emprunts!O:O,MATCH($A609,emprunts!$A:$A,0))))</f>
        <v>44261</v>
      </c>
      <c r="E609" s="52">
        <f>INDEX(emprunts!I:I,MATCH($A609,emprunts!$A:$A,0))</f>
        <v>15</v>
      </c>
      <c r="F609" s="18" t="str">
        <f>INDEX(emprunts!P:P,MATCH($A609,emprunts!$A:$A,0))</f>
        <v>Fixe</v>
      </c>
      <c r="G609" s="126" t="str">
        <f>IF(LEFT(A609,3)="vx_","vx",INDEX(Categorie,MATCH($A609,emprunts!$A$2:$A$149,0)))</f>
        <v>Non_st</v>
      </c>
      <c r="H609">
        <v>2011</v>
      </c>
      <c r="I609">
        <f t="shared" si="97"/>
        <v>1</v>
      </c>
      <c r="N609" s="14"/>
      <c r="O609" s="14">
        <v>3619405</v>
      </c>
      <c r="P609" s="4">
        <v>3.8199999999999998E-2</v>
      </c>
      <c r="Q609" s="14">
        <v>141741.18</v>
      </c>
      <c r="R609" s="14">
        <v>296097.32</v>
      </c>
      <c r="S609" s="14"/>
      <c r="T609" s="14">
        <v>107395</v>
      </c>
      <c r="U609" s="14">
        <f t="shared" ref="U609" si="105">SUM(Q609:S609)</f>
        <v>437838.5</v>
      </c>
      <c r="V609" s="14">
        <f t="shared" si="94"/>
        <v>0</v>
      </c>
      <c r="X609" s="85">
        <f t="shared" si="98"/>
        <v>0</v>
      </c>
      <c r="Y609" s="21">
        <f t="shared" si="102"/>
        <v>3.432638898276251E-2</v>
      </c>
      <c r="AA609" s="55">
        <f t="shared" si="95"/>
        <v>128968.76999999999</v>
      </c>
      <c r="AB609" s="55">
        <f t="shared" si="96"/>
        <v>0.31999999983236194</v>
      </c>
      <c r="AC609" s="55">
        <f t="shared" si="99"/>
        <v>3757131.8691506851</v>
      </c>
    </row>
    <row r="610" spans="1:29">
      <c r="A610" t="s">
        <v>211</v>
      </c>
      <c r="B610" s="16" t="str">
        <f>INDEX(emprunts!C:C,MATCH($A610,emprunts!A:A,0))</f>
        <v>Dexia CL</v>
      </c>
      <c r="C610" s="18">
        <f>INDEX(emprunts!M:M,MATCH($A610,emprunts!$A:$A,0))</f>
        <v>38899</v>
      </c>
      <c r="D610" s="18">
        <f>IF(INDEX(emprunts!O:O,MATCH($A610,emprunts!$A:$A,0))="",INDEX(emprunts!N:N,MATCH($A610,emprunts!$A:$A,0)),MIN(INDEX(emprunts!N:N,MATCH($A610,emprunts!$A:$A,0)),INDEX(emprunts!O:O,MATCH($A610,emprunts!$A:$A,0))))</f>
        <v>40737</v>
      </c>
      <c r="E610" s="52">
        <f>INDEX(emprunts!I:I,MATCH($A610,emprunts!$A:$A,0))</f>
        <v>20</v>
      </c>
      <c r="F610" s="18" t="str">
        <f>INDEX(emprunts!P:P,MATCH($A610,emprunts!$A:$A,0))</f>
        <v>Change</v>
      </c>
      <c r="G610" s="126" t="str">
        <f>IF(LEFT(A610,3)="vx_","vx",INDEX(Categorie,MATCH($A610,emprunts!$A$2:$A$149,0)))</f>
        <v>Struct</v>
      </c>
      <c r="H610">
        <v>2011</v>
      </c>
      <c r="I610">
        <f t="shared" si="97"/>
        <v>1</v>
      </c>
      <c r="N610" s="14"/>
      <c r="O610" s="14"/>
      <c r="Q610" s="14"/>
      <c r="R610" s="14"/>
      <c r="S610" s="14"/>
      <c r="T610" s="14"/>
      <c r="U610" s="14"/>
      <c r="V610" s="14" t="str">
        <f t="shared" si="94"/>
        <v/>
      </c>
      <c r="X610" s="85">
        <f t="shared" si="98"/>
        <v>14063000</v>
      </c>
      <c r="Y610" s="21" t="str">
        <f t="shared" si="102"/>
        <v/>
      </c>
      <c r="AA610" s="55">
        <f t="shared" si="95"/>
        <v>-190465.61</v>
      </c>
      <c r="AB610" s="55">
        <f t="shared" si="96"/>
        <v>-620506</v>
      </c>
      <c r="AC610" s="55">
        <f t="shared" si="99"/>
        <v>7436052.0547945211</v>
      </c>
    </row>
    <row r="611" spans="1:29">
      <c r="A611" t="s">
        <v>503</v>
      </c>
      <c r="B611" s="16" t="str">
        <f>INDEX(emprunts!C:C,MATCH($A611,emprunts!A:A,0))</f>
        <v>Société Générale</v>
      </c>
      <c r="C611" s="18">
        <f>INDEX(emprunts!M:M,MATCH($A611,emprunts!$A:$A,0))</f>
        <v>39356</v>
      </c>
      <c r="D611" s="18">
        <f>IF(INDEX(emprunts!O:O,MATCH($A611,emprunts!$A:$A,0))="",INDEX(emprunts!N:N,MATCH($A611,emprunts!$A:$A,0)),MIN(INDEX(emprunts!N:N,MATCH($A611,emprunts!$A:$A,0)),INDEX(emprunts!O:O,MATCH($A611,emprunts!$A:$A,0))))</f>
        <v>40513</v>
      </c>
      <c r="E611" s="52">
        <f>INDEX(emprunts!I:I,MATCH($A611,emprunts!$A:$A,0))</f>
        <v>20</v>
      </c>
      <c r="F611" s="18" t="str">
        <f>INDEX(emprunts!P:P,MATCH($A611,emprunts!$A:$A,0))</f>
        <v>Barrière avec multiplicateur</v>
      </c>
      <c r="G611" s="126" t="str">
        <f>IF(LEFT(A611,3)="vx_","vx",INDEX(Categorie,MATCH($A611,emprunts!$A$2:$A$149,0)))</f>
        <v>Struct</v>
      </c>
      <c r="H611">
        <v>2011</v>
      </c>
      <c r="I611">
        <f t="shared" si="97"/>
        <v>1</v>
      </c>
      <c r="N611" s="14"/>
      <c r="O611" s="14"/>
      <c r="Q611" s="14"/>
      <c r="R611" s="14"/>
      <c r="S611" s="14"/>
      <c r="T611" s="14"/>
      <c r="U611" s="14"/>
      <c r="V611" s="14" t="str">
        <f t="shared" si="94"/>
        <v/>
      </c>
      <c r="X611" s="85">
        <f t="shared" si="98"/>
        <v>0</v>
      </c>
      <c r="Y611" s="21" t="str">
        <f t="shared" si="102"/>
        <v/>
      </c>
      <c r="AA611" s="55">
        <f t="shared" si="95"/>
        <v>-7989.4</v>
      </c>
      <c r="AB611" s="55">
        <f t="shared" si="96"/>
        <v>0</v>
      </c>
      <c r="AC611" s="55">
        <f t="shared" si="99"/>
        <v>0</v>
      </c>
    </row>
    <row r="612" spans="1:29">
      <c r="A612" t="s">
        <v>502</v>
      </c>
      <c r="B612" s="16" t="str">
        <f>INDEX(emprunts!C:C,MATCH($A612,emprunts!A:A,0))</f>
        <v>Société Générale</v>
      </c>
      <c r="C612" s="18">
        <f>INDEX(emprunts!M:M,MATCH($A612,emprunts!$A:$A,0))</f>
        <v>39356</v>
      </c>
      <c r="D612" s="18">
        <f>IF(INDEX(emprunts!O:O,MATCH($A612,emprunts!$A:$A,0))="",INDEX(emprunts!N:N,MATCH($A612,emprunts!$A:$A,0)),MIN(INDEX(emprunts!N:N,MATCH($A612,emprunts!$A:$A,0)),INDEX(emprunts!O:O,MATCH($A612,emprunts!$A:$A,0))))</f>
        <v>40452</v>
      </c>
      <c r="E612" s="52">
        <f>INDEX(emprunts!I:I,MATCH($A612,emprunts!$A:$A,0))</f>
        <v>20.079999999999998</v>
      </c>
      <c r="F612" s="18" t="str">
        <f>INDEX(emprunts!P:P,MATCH($A612,emprunts!$A:$A,0))</f>
        <v>Écart d'inflation</v>
      </c>
      <c r="G612" s="126" t="str">
        <f>IF(LEFT(A612,3)="vx_","vx",INDEX(Categorie,MATCH($A612,emprunts!$A$2:$A$149,0)))</f>
        <v>Struct</v>
      </c>
      <c r="H612">
        <v>2011</v>
      </c>
      <c r="I612">
        <f t="shared" si="97"/>
        <v>1</v>
      </c>
      <c r="N612" s="14"/>
      <c r="O612" s="14"/>
      <c r="Q612" s="14"/>
      <c r="R612" s="14"/>
      <c r="S612" s="14"/>
      <c r="T612" s="14"/>
      <c r="U612" s="14"/>
      <c r="V612" s="14" t="str">
        <f t="shared" si="94"/>
        <v/>
      </c>
      <c r="X612" s="85">
        <f t="shared" si="98"/>
        <v>0</v>
      </c>
      <c r="Y612" s="21" t="str">
        <f t="shared" si="102"/>
        <v/>
      </c>
      <c r="AA612" s="55">
        <f t="shared" si="95"/>
        <v>-135384.5</v>
      </c>
      <c r="AB612" s="55">
        <f t="shared" si="96"/>
        <v>0</v>
      </c>
      <c r="AC612" s="55">
        <f t="shared" si="99"/>
        <v>0</v>
      </c>
    </row>
    <row r="613" spans="1:29">
      <c r="A613" t="s">
        <v>223</v>
      </c>
      <c r="B613" s="16" t="str">
        <f>INDEX(emprunts!C:C,MATCH($A613,emprunts!A:A,0))</f>
        <v>Crédit Agricole</v>
      </c>
      <c r="C613" s="18">
        <f>INDEX(emprunts!M:M,MATCH($A613,emprunts!$A:$A,0))</f>
        <v>39182</v>
      </c>
      <c r="D613" s="18">
        <f>IF(INDEX(emprunts!O:O,MATCH($A613,emprunts!$A:$A,0))="",INDEX(emprunts!N:N,MATCH($A613,emprunts!$A:$A,0)),MIN(INDEX(emprunts!N:N,MATCH($A613,emprunts!$A:$A,0)),INDEX(emprunts!O:O,MATCH($A613,emprunts!$A:$A,0))))</f>
        <v>46813</v>
      </c>
      <c r="E613" s="52">
        <f>INDEX(emprunts!I:I,MATCH($A613,emprunts!$A:$A,0))</f>
        <v>20</v>
      </c>
      <c r="F613" s="18" t="str">
        <f>INDEX(emprunts!P:P,MATCH($A613,emprunts!$A:$A,0))</f>
        <v>Pente</v>
      </c>
      <c r="G613" s="126" t="str">
        <f>IF(LEFT(A613,3)="vx_","vx",INDEX(Categorie,MATCH($A613,emprunts!$A$2:$A$149,0)))</f>
        <v>Struct</v>
      </c>
      <c r="H613">
        <v>2011</v>
      </c>
      <c r="I613">
        <f t="shared" ref="I613:I669" si="106">1*(C613&lt;DATE(H613,12,31))</f>
        <v>1</v>
      </c>
      <c r="N613" s="14"/>
      <c r="O613" s="14">
        <v>4356789</v>
      </c>
      <c r="P613" s="4">
        <v>5.6512E-2</v>
      </c>
      <c r="Q613" s="14">
        <v>226745.3</v>
      </c>
      <c r="R613" s="14">
        <v>181731.69</v>
      </c>
      <c r="S613" s="14"/>
      <c r="T613" s="14">
        <v>24272</v>
      </c>
      <c r="U613" s="14">
        <f t="shared" ref="U613" si="107">SUM(Q613:S613)</f>
        <v>408476.99</v>
      </c>
      <c r="V613" s="14">
        <f t="shared" si="94"/>
        <v>0</v>
      </c>
      <c r="X613" s="85">
        <f t="shared" ref="X613:X669" si="108">SUMPRODUCT((De=$A613)*(année_refi=$H613),Montant_transfere)</f>
        <v>0</v>
      </c>
      <c r="Y613" s="21">
        <f t="shared" si="102"/>
        <v>5.2918729475725769E-2</v>
      </c>
      <c r="AA613" s="55">
        <f t="shared" si="95"/>
        <v>234719.40999999997</v>
      </c>
      <c r="AB613" s="55">
        <f t="shared" si="96"/>
        <v>0.69000000040978193</v>
      </c>
      <c r="AC613" s="55">
        <f t="shared" si="99"/>
        <v>4435469.489260274</v>
      </c>
    </row>
    <row r="614" spans="1:29">
      <c r="A614" t="s">
        <v>235</v>
      </c>
      <c r="B614" s="16" t="str">
        <f>INDEX(emprunts!C:C,MATCH($A614,emprunts!A:A,0))</f>
        <v>Caisse d'Épargne</v>
      </c>
      <c r="C614" s="18">
        <f>INDEX(emprunts!M:M,MATCH($A614,emprunts!$A:$A,0))</f>
        <v>39288</v>
      </c>
      <c r="D614" s="18">
        <f>IF(INDEX(emprunts!O:O,MATCH($A614,emprunts!$A:$A,0))="",INDEX(emprunts!N:N,MATCH($A614,emprunts!$A:$A,0)),MIN(INDEX(emprunts!N:N,MATCH($A614,emprunts!$A:$A,0)),INDEX(emprunts!O:O,MATCH($A614,emprunts!$A:$A,0))))</f>
        <v>40964</v>
      </c>
      <c r="E614" s="52">
        <f>INDEX(emprunts!I:I,MATCH($A614,emprunts!$A:$A,0))</f>
        <v>18.579999999999998</v>
      </c>
      <c r="F614" s="18" t="str">
        <f>INDEX(emprunts!P:P,MATCH($A614,emprunts!$A:$A,0))</f>
        <v>Courbes</v>
      </c>
      <c r="G614" s="126" t="str">
        <f>IF(LEFT(A614,3)="vx_","vx",INDEX(Categorie,MATCH($A614,emprunts!$A$2:$A$149,0)))</f>
        <v>Struct</v>
      </c>
      <c r="H614">
        <v>2011</v>
      </c>
      <c r="I614">
        <f t="shared" si="106"/>
        <v>1</v>
      </c>
      <c r="N614" s="14"/>
      <c r="O614" s="14">
        <v>12116234</v>
      </c>
      <c r="P614" s="4">
        <v>2.2321000000000001E-2</v>
      </c>
      <c r="Q614" s="14">
        <v>286955.26</v>
      </c>
      <c r="R614" s="14">
        <v>748509.81</v>
      </c>
      <c r="S614" s="14"/>
      <c r="T614" s="14">
        <v>226794</v>
      </c>
      <c r="U614" s="14">
        <f t="shared" ref="U614" si="109">SUM(Q614:S614)</f>
        <v>1035465.0700000001</v>
      </c>
      <c r="V614" s="14">
        <f t="shared" si="94"/>
        <v>0</v>
      </c>
      <c r="X614" s="85">
        <f t="shared" si="108"/>
        <v>0</v>
      </c>
      <c r="Y614" s="21">
        <f t="shared" si="102"/>
        <v>2.0634969639778032E-2</v>
      </c>
      <c r="AA614" s="55">
        <f t="shared" si="95"/>
        <v>257034.72</v>
      </c>
      <c r="AB614" s="55">
        <f t="shared" si="96"/>
        <v>-0.18999999947845936</v>
      </c>
      <c r="AC614" s="55">
        <f t="shared" ref="AC614:AC671" si="110">MAX(0,(C614-DATE(H614,1,1))/365)*0+MAX(0,MIN(1,(MIN(DATE(H614,12,31),D614)-MAX(DATE(H614,1,1),C614))/365))*(O614+X614+R614/2)</f>
        <v>12456268.387452055</v>
      </c>
    </row>
    <row r="615" spans="1:29">
      <c r="A615" t="s">
        <v>239</v>
      </c>
      <c r="B615" s="16" t="str">
        <f>INDEX(emprunts!C:C,MATCH($A615,emprunts!A:A,0))</f>
        <v>Dexia CL</v>
      </c>
      <c r="C615" s="18">
        <f>INDEX(emprunts!M:M,MATCH($A615,emprunts!$A:$A,0))</f>
        <v>39324</v>
      </c>
      <c r="D615" s="18">
        <f>IF(INDEX(emprunts!O:O,MATCH($A615,emprunts!$A:$A,0))="",INDEX(emprunts!N:N,MATCH($A615,emprunts!$A:$A,0)),MIN(INDEX(emprunts!N:N,MATCH($A615,emprunts!$A:$A,0)),INDEX(emprunts!O:O,MATCH($A615,emprunts!$A:$A,0))))</f>
        <v>40634</v>
      </c>
      <c r="E615" s="52">
        <f>INDEX(emprunts!I:I,MATCH($A615,emprunts!$A:$A,0))</f>
        <v>25</v>
      </c>
      <c r="F615" s="18" t="str">
        <f>INDEX(emprunts!P:P,MATCH($A615,emprunts!$A:$A,0))</f>
        <v>Courbes</v>
      </c>
      <c r="G615" s="126" t="str">
        <f>IF(LEFT(A615,3)="vx_","vx",INDEX(Categorie,MATCH($A615,emprunts!$A$2:$A$149,0)))</f>
        <v>Struct</v>
      </c>
      <c r="H615">
        <v>2011</v>
      </c>
      <c r="I615">
        <f t="shared" si="106"/>
        <v>1</v>
      </c>
      <c r="N615" s="14">
        <v>14311242.439999999</v>
      </c>
      <c r="O615" s="14">
        <v>0</v>
      </c>
      <c r="Q615" s="14">
        <v>447385.4</v>
      </c>
      <c r="R615" s="14">
        <v>507080.75</v>
      </c>
      <c r="S615" s="14"/>
      <c r="T615" s="14">
        <v>0</v>
      </c>
      <c r="U615" s="14">
        <f>SUM(Q615:T615)</f>
        <v>954466.15</v>
      </c>
      <c r="V615" s="14">
        <f t="shared" si="94"/>
        <v>0</v>
      </c>
      <c r="X615" s="85">
        <f t="shared" si="108"/>
        <v>12864000</v>
      </c>
      <c r="Y615" s="21">
        <f t="shared" si="102"/>
        <v>6.8231356342721886E-2</v>
      </c>
      <c r="AA615" s="55">
        <f t="shared" si="95"/>
        <v>220691.73</v>
      </c>
      <c r="AB615" s="55">
        <f t="shared" si="96"/>
        <v>-338.25</v>
      </c>
      <c r="AC615" s="55">
        <f t="shared" si="110"/>
        <v>3234462.0102739725</v>
      </c>
    </row>
    <row r="616" spans="1:29">
      <c r="A616" t="s">
        <v>504</v>
      </c>
      <c r="B616" s="16" t="str">
        <f>INDEX(emprunts!C:C,MATCH($A616,emprunts!A:A,0))</f>
        <v>Société Générale</v>
      </c>
      <c r="C616" s="18">
        <f>INDEX(emprunts!M:M,MATCH($A616,emprunts!$A:$A,0))</f>
        <v>39356</v>
      </c>
      <c r="D616" s="18">
        <f>IF(INDEX(emprunts!O:O,MATCH($A616,emprunts!$A:$A,0))="",INDEX(emprunts!N:N,MATCH($A616,emprunts!$A:$A,0)),MIN(INDEX(emprunts!N:N,MATCH($A616,emprunts!$A:$A,0)),INDEX(emprunts!O:O,MATCH($A616,emprunts!$A:$A,0))))</f>
        <v>40422</v>
      </c>
      <c r="E616" s="52">
        <f>INDEX(emprunts!I:I,MATCH($A616,emprunts!$A:$A,0))</f>
        <v>20</v>
      </c>
      <c r="F616" s="18" t="str">
        <f>INDEX(emprunts!P:P,MATCH($A616,emprunts!$A:$A,0))</f>
        <v>Courbes</v>
      </c>
      <c r="G616" s="126" t="str">
        <f>IF(LEFT(A616,3)="vx_","vx",INDEX(Categorie,MATCH($A616,emprunts!$A$2:$A$149,0)))</f>
        <v>Struct</v>
      </c>
      <c r="H616">
        <v>2011</v>
      </c>
      <c r="I616">
        <f t="shared" si="106"/>
        <v>1</v>
      </c>
      <c r="N616" s="14"/>
      <c r="O616" s="14"/>
      <c r="Q616" s="14"/>
      <c r="R616" s="14"/>
      <c r="S616" s="14"/>
      <c r="T616" s="14"/>
      <c r="U616" s="14"/>
      <c r="V616" s="14" t="str">
        <f t="shared" si="94"/>
        <v/>
      </c>
      <c r="X616" s="85">
        <f t="shared" si="108"/>
        <v>0</v>
      </c>
      <c r="Y616" s="21" t="str">
        <f t="shared" si="102"/>
        <v/>
      </c>
      <c r="AA616" s="55">
        <f t="shared" si="95"/>
        <v>-22855.22</v>
      </c>
      <c r="AB616" s="55">
        <f t="shared" si="96"/>
        <v>0</v>
      </c>
      <c r="AC616" s="55">
        <f t="shared" si="110"/>
        <v>0</v>
      </c>
    </row>
    <row r="617" spans="1:29">
      <c r="A617" t="s">
        <v>246</v>
      </c>
      <c r="B617" s="16" t="str">
        <f>INDEX(emprunts!C:C,MATCH($A617,emprunts!A:A,0))</f>
        <v>Dexia CL</v>
      </c>
      <c r="C617" s="18">
        <f>INDEX(emprunts!M:M,MATCH($A617,emprunts!$A:$A,0))</f>
        <v>39350</v>
      </c>
      <c r="D617" s="18">
        <f>IF(INDEX(emprunts!O:O,MATCH($A617,emprunts!$A:$A,0))="",INDEX(emprunts!N:N,MATCH($A617,emprunts!$A:$A,0)),MIN(INDEX(emprunts!N:N,MATCH($A617,emprunts!$A:$A,0)),INDEX(emprunts!O:O,MATCH($A617,emprunts!$A:$A,0))))</f>
        <v>40179</v>
      </c>
      <c r="E617" s="52">
        <f>INDEX(emprunts!I:I,MATCH($A617,emprunts!$A:$A,0))</f>
        <v>25.42</v>
      </c>
      <c r="F617" s="18" t="str">
        <f>INDEX(emprunts!P:P,MATCH($A617,emprunts!$A:$A,0))</f>
        <v>Barrière avec multiplicateur</v>
      </c>
      <c r="G617" s="126" t="str">
        <f>IF(LEFT(A617,3)="vx_","vx",INDEX(Categorie,MATCH($A617,emprunts!$A$2:$A$149,0)))</f>
        <v>Struct</v>
      </c>
      <c r="H617">
        <v>2011</v>
      </c>
      <c r="I617">
        <f t="shared" si="106"/>
        <v>1</v>
      </c>
      <c r="N617" s="14"/>
      <c r="O617" s="14"/>
      <c r="Q617" s="14"/>
      <c r="R617" s="14"/>
      <c r="S617" s="14"/>
      <c r="T617" s="14"/>
      <c r="U617" s="14"/>
      <c r="V617" s="14" t="str">
        <f t="shared" si="94"/>
        <v/>
      </c>
      <c r="X617" s="85">
        <f t="shared" si="108"/>
        <v>0</v>
      </c>
      <c r="Y617" s="21" t="str">
        <f t="shared" si="102"/>
        <v/>
      </c>
      <c r="AA617" s="55">
        <f t="shared" si="95"/>
        <v>-290030.92</v>
      </c>
      <c r="AB617" s="55">
        <f t="shared" si="96"/>
        <v>0</v>
      </c>
      <c r="AC617" s="55">
        <f t="shared" si="110"/>
        <v>0</v>
      </c>
    </row>
    <row r="618" spans="1:29">
      <c r="A618" t="s">
        <v>250</v>
      </c>
      <c r="B618" s="16" t="str">
        <f>INDEX(emprunts!C:C,MATCH($A618,emprunts!A:A,0))</f>
        <v>Caisse d'Épargne</v>
      </c>
      <c r="C618" s="18">
        <f>INDEX(emprunts!M:M,MATCH($A618,emprunts!$A:$A,0))</f>
        <v>39447</v>
      </c>
      <c r="D618" s="18">
        <f>IF(INDEX(emprunts!O:O,MATCH($A618,emprunts!$A:$A,0))="",INDEX(emprunts!N:N,MATCH($A618,emprunts!$A:$A,0)),MIN(INDEX(emprunts!N:N,MATCH($A618,emprunts!$A:$A,0)),INDEX(emprunts!O:O,MATCH($A618,emprunts!$A:$A,0))))</f>
        <v>41330</v>
      </c>
      <c r="E618" s="52">
        <f>INDEX(emprunts!I:I,MATCH($A618,emprunts!$A:$A,0))</f>
        <v>20</v>
      </c>
      <c r="F618" s="18" t="str">
        <f>INDEX(emprunts!P:P,MATCH($A618,emprunts!$A:$A,0))</f>
        <v>Courbes</v>
      </c>
      <c r="G618" s="126" t="str">
        <f>IF(LEFT(A618,3)="vx_","vx",INDEX(Categorie,MATCH($A618,emprunts!$A$2:$A$149,0)))</f>
        <v>Struct</v>
      </c>
      <c r="H618">
        <v>2011</v>
      </c>
      <c r="I618">
        <f t="shared" si="106"/>
        <v>1</v>
      </c>
      <c r="N618" s="14"/>
      <c r="O618" s="14">
        <v>4450803</v>
      </c>
      <c r="P618" s="4">
        <v>2.2321000000000001E-2</v>
      </c>
      <c r="Q618" s="14">
        <v>103502.26</v>
      </c>
      <c r="R618" s="14">
        <v>169396.35</v>
      </c>
      <c r="S618" s="14"/>
      <c r="T618" s="14">
        <v>84045</v>
      </c>
      <c r="U618" s="14">
        <f t="shared" ref="U618:U622" si="111">SUM(Q618:S618)</f>
        <v>272898.61</v>
      </c>
      <c r="V618" s="14">
        <f t="shared" si="94"/>
        <v>0</v>
      </c>
      <c r="X618" s="85">
        <f t="shared" si="108"/>
        <v>0</v>
      </c>
      <c r="Y618" s="21">
        <f t="shared" si="102"/>
        <v>2.1328246142403536E-2</v>
      </c>
      <c r="AA618" s="55">
        <f t="shared" si="95"/>
        <v>96469.260000000009</v>
      </c>
      <c r="AB618" s="55">
        <f t="shared" si="96"/>
        <v>-20001.650000000373</v>
      </c>
      <c r="AC618" s="55">
        <f t="shared" si="110"/>
        <v>4523075.1443835618</v>
      </c>
    </row>
    <row r="619" spans="1:29">
      <c r="A619" t="s">
        <v>251</v>
      </c>
      <c r="B619" s="16" t="str">
        <f>INDEX(emprunts!C:C,MATCH($A619,emprunts!A:A,0))</f>
        <v>Dexia CL</v>
      </c>
      <c r="C619" s="18">
        <f>INDEX(emprunts!M:M,MATCH($A619,emprunts!$A:$A,0))</f>
        <v>40148</v>
      </c>
      <c r="D619" s="18">
        <f>IF(INDEX(emprunts!O:O,MATCH($A619,emprunts!$A:$A,0))="",INDEX(emprunts!N:N,MATCH($A619,emprunts!$A:$A,0)),MIN(INDEX(emprunts!N:N,MATCH($A619,emprunts!$A:$A,0)),INDEX(emprunts!O:O,MATCH($A619,emprunts!$A:$A,0))))</f>
        <v>41030</v>
      </c>
      <c r="E619" s="52">
        <f>INDEX(emprunts!I:I,MATCH($A619,emprunts!$A:$A,0))</f>
        <v>20.83</v>
      </c>
      <c r="F619" s="18" t="str">
        <f>INDEX(emprunts!P:P,MATCH($A619,emprunts!$A:$A,0))</f>
        <v>Change</v>
      </c>
      <c r="G619" s="126" t="str">
        <f>IF(LEFT(A619,3)="vx_","vx",INDEX(Categorie,MATCH($A619,emprunts!$A$2:$A$149,0)))</f>
        <v>Struct</v>
      </c>
      <c r="H619">
        <v>2011</v>
      </c>
      <c r="I619">
        <f t="shared" si="106"/>
        <v>1</v>
      </c>
      <c r="N619" s="14"/>
      <c r="O619" s="14">
        <v>14548322</v>
      </c>
      <c r="P619" s="4">
        <v>0.16426399999999999</v>
      </c>
      <c r="Q619" s="14">
        <v>411406.95</v>
      </c>
      <c r="R619" s="14">
        <v>480514.86</v>
      </c>
      <c r="S619" s="14"/>
      <c r="T619" s="14">
        <v>430630.34</v>
      </c>
      <c r="U619" s="14">
        <f t="shared" si="111"/>
        <v>891921.81</v>
      </c>
      <c r="V619" s="14">
        <f t="shared" si="94"/>
        <v>0</v>
      </c>
      <c r="X619" s="85">
        <f t="shared" si="108"/>
        <v>0</v>
      </c>
      <c r="Y619" s="21">
        <f t="shared" si="102"/>
        <v>3.9169851583310523E-2</v>
      </c>
      <c r="AA619" s="55">
        <f t="shared" si="95"/>
        <v>577679.43000000005</v>
      </c>
      <c r="AB619" s="55">
        <f t="shared" si="96"/>
        <v>199.85999999940395</v>
      </c>
      <c r="AC619" s="55">
        <f t="shared" si="110"/>
        <v>14748062.774027398</v>
      </c>
    </row>
    <row r="620" spans="1:29">
      <c r="A620" t="s">
        <v>253</v>
      </c>
      <c r="B620" s="16" t="str">
        <f>INDEX(emprunts!C:C,MATCH($A620,emprunts!A:A,0))</f>
        <v>Dexia CL</v>
      </c>
      <c r="C620" s="18">
        <f>INDEX(emprunts!M:M,MATCH($A620,emprunts!$A:$A,0))</f>
        <v>40176</v>
      </c>
      <c r="D620" s="18">
        <f>IF(INDEX(emprunts!O:O,MATCH($A620,emprunts!$A:$A,0))="",INDEX(emprunts!N:N,MATCH($A620,emprunts!$A:$A,0)),MIN(INDEX(emprunts!N:N,MATCH($A620,emprunts!$A:$A,0)),INDEX(emprunts!O:O,MATCH($A620,emprunts!$A:$A,0))))</f>
        <v>40299</v>
      </c>
      <c r="E620" s="52">
        <f>INDEX(emprunts!I:I,MATCH($A620,emprunts!$A:$A,0))</f>
        <v>20.83</v>
      </c>
      <c r="F620" s="18" t="str">
        <f>INDEX(emprunts!P:P,MATCH($A620,emprunts!$A:$A,0))</f>
        <v>Courbes</v>
      </c>
      <c r="G620" s="126" t="str">
        <f>IF(LEFT(A620,3)="vx_","vx",INDEX(Categorie,MATCH($A620,emprunts!$A$2:$A$149,0)))</f>
        <v>Struct</v>
      </c>
      <c r="H620">
        <v>2011</v>
      </c>
      <c r="I620">
        <f t="shared" si="106"/>
        <v>1</v>
      </c>
      <c r="N620" s="14"/>
      <c r="O620" s="14"/>
      <c r="Q620" s="14"/>
      <c r="R620" s="14"/>
      <c r="S620" s="14"/>
      <c r="T620" s="14"/>
      <c r="U620" s="14"/>
      <c r="V620" s="14" t="str">
        <f t="shared" si="94"/>
        <v/>
      </c>
      <c r="X620" s="85">
        <f t="shared" si="108"/>
        <v>0</v>
      </c>
      <c r="Y620" s="21" t="str">
        <f t="shared" si="102"/>
        <v/>
      </c>
      <c r="AA620" s="55">
        <f t="shared" si="95"/>
        <v>-264357.86</v>
      </c>
      <c r="AB620" s="55">
        <f t="shared" si="96"/>
        <v>0</v>
      </c>
      <c r="AC620" s="55">
        <f t="shared" si="110"/>
        <v>0</v>
      </c>
    </row>
    <row r="621" spans="1:29">
      <c r="A621" t="s">
        <v>255</v>
      </c>
      <c r="B621" s="16" t="str">
        <f>INDEX(emprunts!C:C,MATCH($A621,emprunts!A:A,0))</f>
        <v>Dexia CL</v>
      </c>
      <c r="C621" s="18">
        <f>INDEX(emprunts!M:M,MATCH($A621,emprunts!$A:$A,0))</f>
        <v>39668</v>
      </c>
      <c r="D621" s="18">
        <f>IF(INDEX(emprunts!O:O,MATCH($A621,emprunts!$A:$A,0))="",INDEX(emprunts!N:N,MATCH($A621,emprunts!$A:$A,0)),MIN(INDEX(emprunts!N:N,MATCH($A621,emprunts!$A:$A,0)),INDEX(emprunts!O:O,MATCH($A621,emprunts!$A:$A,0))))</f>
        <v>40848</v>
      </c>
      <c r="E621" s="52">
        <f>INDEX(emprunts!I:I,MATCH($A621,emprunts!$A:$A,0))</f>
        <v>25.33</v>
      </c>
      <c r="F621" s="18" t="str">
        <f>INDEX(emprunts!P:P,MATCH($A621,emprunts!$A:$A,0))</f>
        <v>Change</v>
      </c>
      <c r="G621" s="126" t="str">
        <f>IF(LEFT(A621,3)="vx_","vx",INDEX(Categorie,MATCH($A621,emprunts!$A$2:$A$149,0)))</f>
        <v>Struct</v>
      </c>
      <c r="H621">
        <v>2011</v>
      </c>
      <c r="I621">
        <f t="shared" si="106"/>
        <v>1</v>
      </c>
      <c r="N621" s="14"/>
      <c r="O621" s="14">
        <v>0</v>
      </c>
      <c r="Q621" s="14">
        <v>477209.91</v>
      </c>
      <c r="R621" s="14">
        <v>847048.42</v>
      </c>
      <c r="S621" s="14"/>
      <c r="T621" s="14">
        <v>0</v>
      </c>
      <c r="U621" s="14">
        <f t="shared" si="111"/>
        <v>1324258.33</v>
      </c>
      <c r="V621" s="14">
        <f t="shared" si="94"/>
        <v>0</v>
      </c>
      <c r="X621" s="85">
        <f t="shared" si="108"/>
        <v>8565000</v>
      </c>
      <c r="Y621" s="21">
        <f t="shared" si="102"/>
        <v>5.9434398676940711E-2</v>
      </c>
      <c r="AA621" s="55">
        <f t="shared" si="95"/>
        <v>444945.67</v>
      </c>
      <c r="AB621" s="55">
        <f t="shared" si="96"/>
        <v>-20271.580000000075</v>
      </c>
      <c r="AC621" s="55">
        <f t="shared" si="110"/>
        <v>7486332.4927123301</v>
      </c>
    </row>
    <row r="622" spans="1:29">
      <c r="A622" t="s">
        <v>256</v>
      </c>
      <c r="B622" s="16" t="str">
        <f>INDEX(emprunts!C:C,MATCH($A622,emprunts!A:A,0))</f>
        <v>Dexia CL</v>
      </c>
      <c r="C622" s="18">
        <f>INDEX(emprunts!M:M,MATCH($A622,emprunts!$A:$A,0))</f>
        <v>39668</v>
      </c>
      <c r="D622" s="18">
        <f>IF(INDEX(emprunts!O:O,MATCH($A622,emprunts!$A:$A,0))="",INDEX(emprunts!N:N,MATCH($A622,emprunts!$A:$A,0)),MIN(INDEX(emprunts!N:N,MATCH($A622,emprunts!$A:$A,0)),INDEX(emprunts!O:O,MATCH($A622,emprunts!$A:$A,0))))</f>
        <v>41214</v>
      </c>
      <c r="E622" s="52">
        <f>INDEX(emprunts!I:I,MATCH($A622,emprunts!$A:$A,0))</f>
        <v>25.33</v>
      </c>
      <c r="F622" s="18" t="str">
        <f>INDEX(emprunts!P:P,MATCH($A622,emprunts!$A:$A,0))</f>
        <v>Change</v>
      </c>
      <c r="G622" s="126" t="str">
        <f>IF(LEFT(A622,3)="vx_","vx",INDEX(Categorie,MATCH($A622,emprunts!$A$2:$A$149,0)))</f>
        <v>Struct</v>
      </c>
      <c r="H622">
        <v>2011</v>
      </c>
      <c r="I622">
        <f t="shared" si="106"/>
        <v>1</v>
      </c>
      <c r="N622" s="14"/>
      <c r="O622" s="14">
        <v>9245515</v>
      </c>
      <c r="P622" s="4">
        <v>9.6488000000000004E-2</v>
      </c>
      <c r="Q622" s="14">
        <v>186164.12</v>
      </c>
      <c r="R622" s="14">
        <v>626105.87</v>
      </c>
      <c r="S622" s="14"/>
      <c r="T622" s="14">
        <v>52441.77</v>
      </c>
      <c r="U622" s="14">
        <f t="shared" si="111"/>
        <v>812269.99</v>
      </c>
      <c r="V622" s="14">
        <f t="shared" si="94"/>
        <v>0</v>
      </c>
      <c r="X622" s="85">
        <f t="shared" si="108"/>
        <v>0</v>
      </c>
      <c r="Y622" s="21">
        <f t="shared" si="102"/>
        <v>2.159002351182682E-2</v>
      </c>
      <c r="AA622" s="55">
        <f t="shared" si="95"/>
        <v>205804.31</v>
      </c>
      <c r="AB622" s="55">
        <f t="shared" si="96"/>
        <v>-3.1300000008195639</v>
      </c>
      <c r="AC622" s="55">
        <f t="shared" si="110"/>
        <v>9532380.0776438359</v>
      </c>
    </row>
    <row r="623" spans="1:29">
      <c r="A623" t="s">
        <v>257</v>
      </c>
      <c r="B623" s="16" t="str">
        <f>INDEX(emprunts!C:C,MATCH($A623,emprunts!A:A,0))</f>
        <v>Dexia CL</v>
      </c>
      <c r="C623" s="18">
        <f>INDEX(emprunts!M:M,MATCH($A623,emprunts!$A:$A,0))</f>
        <v>41214</v>
      </c>
      <c r="D623" s="18">
        <f>IF(INDEX(emprunts!O:O,MATCH($A623,emprunts!$A:$A,0))="",INDEX(emprunts!N:N,MATCH($A623,emprunts!$A:$A,0)),MIN(INDEX(emprunts!N:N,MATCH($A623,emprunts!$A:$A,0)),INDEX(emprunts!O:O,MATCH($A623,emprunts!$A:$A,0))))</f>
        <v>43040</v>
      </c>
      <c r="E623" s="52">
        <f>INDEX(emprunts!I:I,MATCH($A623,emprunts!$A:$A,0))</f>
        <v>25</v>
      </c>
      <c r="F623" s="18" t="str">
        <f>INDEX(emprunts!P:P,MATCH($A623,emprunts!$A:$A,0))</f>
        <v>Change</v>
      </c>
      <c r="G623" s="126" t="str">
        <f>IF(LEFT(A623,3)="vx_","vx",INDEX(Categorie,MATCH($A623,emprunts!$A$2:$A$149,0)))</f>
        <v>Struct</v>
      </c>
      <c r="H623">
        <v>2011</v>
      </c>
      <c r="I623">
        <f t="shared" si="106"/>
        <v>0</v>
      </c>
      <c r="N623" s="14"/>
      <c r="O623" s="14"/>
      <c r="Q623" s="14"/>
      <c r="R623" s="14"/>
      <c r="S623" s="14"/>
      <c r="T623" s="14"/>
      <c r="U623" s="14"/>
      <c r="V623" s="14" t="str">
        <f t="shared" si="94"/>
        <v/>
      </c>
      <c r="X623" s="85">
        <f t="shared" si="108"/>
        <v>0</v>
      </c>
      <c r="Y623" s="21" t="str">
        <f t="shared" ref="Y623:Y644" si="112">IF(AND(AA623&gt;0,YEAR(C623)&lt;=H623),AA623/AC623,"")</f>
        <v/>
      </c>
      <c r="AA623" s="55">
        <f t="shared" si="95"/>
        <v>0</v>
      </c>
      <c r="AB623" s="55">
        <f t="shared" si="96"/>
        <v>0</v>
      </c>
      <c r="AC623" s="55">
        <f t="shared" si="110"/>
        <v>0</v>
      </c>
    </row>
    <row r="624" spans="1:29">
      <c r="A624" t="s">
        <v>261</v>
      </c>
      <c r="B624" s="16" t="str">
        <f>INDEX(emprunts!C:C,MATCH($A624,emprunts!A:A,0))</f>
        <v>Dexia CL</v>
      </c>
      <c r="C624" s="18">
        <f>INDEX(emprunts!M:M,MATCH($A624,emprunts!$A:$A,0))</f>
        <v>39783</v>
      </c>
      <c r="D624" s="18">
        <f>IF(INDEX(emprunts!O:O,MATCH($A624,emprunts!$A:$A,0))="",INDEX(emprunts!N:N,MATCH($A624,emprunts!$A:$A,0)),MIN(INDEX(emprunts!N:N,MATCH($A624,emprunts!$A:$A,0)),INDEX(emprunts!O:O,MATCH($A624,emprunts!$A:$A,0))))</f>
        <v>40513</v>
      </c>
      <c r="E624" s="52">
        <f>INDEX(emprunts!I:I,MATCH($A624,emprunts!$A:$A,0))</f>
        <v>17</v>
      </c>
      <c r="F624" s="18" t="str">
        <f>INDEX(emprunts!P:P,MATCH($A624,emprunts!$A:$A,0))</f>
        <v>Change</v>
      </c>
      <c r="G624" s="126" t="str">
        <f>IF(LEFT(A624,3)="vx_","vx",INDEX(Categorie,MATCH($A624,emprunts!$A$2:$A$149,0)))</f>
        <v>Struct</v>
      </c>
      <c r="H624">
        <v>2011</v>
      </c>
      <c r="I624">
        <f t="shared" si="106"/>
        <v>1</v>
      </c>
      <c r="N624" s="14"/>
      <c r="O624" s="14"/>
      <c r="Q624" s="14"/>
      <c r="R624" s="14"/>
      <c r="S624" s="14"/>
      <c r="T624" s="14"/>
      <c r="U624" s="14"/>
      <c r="V624" s="14" t="str">
        <f t="shared" si="94"/>
        <v/>
      </c>
      <c r="X624" s="85">
        <f t="shared" si="108"/>
        <v>0</v>
      </c>
      <c r="Y624" s="21" t="str">
        <f t="shared" si="112"/>
        <v/>
      </c>
      <c r="AA624" s="55">
        <f t="shared" si="95"/>
        <v>-26938.13</v>
      </c>
      <c r="AB624" s="55">
        <f t="shared" si="96"/>
        <v>0</v>
      </c>
      <c r="AC624" s="55">
        <f t="shared" si="110"/>
        <v>0</v>
      </c>
    </row>
    <row r="625" spans="1:29">
      <c r="A625" t="s">
        <v>263</v>
      </c>
      <c r="B625" s="16" t="str">
        <f>INDEX(emprunts!C:C,MATCH($A625,emprunts!A:A,0))</f>
        <v>Dexia CL</v>
      </c>
      <c r="C625" s="18">
        <f>INDEX(emprunts!M:M,MATCH($A625,emprunts!$A:$A,0))</f>
        <v>39783</v>
      </c>
      <c r="D625" s="18">
        <f>IF(INDEX(emprunts!O:O,MATCH($A625,emprunts!$A:$A,0))="",INDEX(emprunts!N:N,MATCH($A625,emprunts!$A:$A,0)),MIN(INDEX(emprunts!N:N,MATCH($A625,emprunts!$A:$A,0)),INDEX(emprunts!O:O,MATCH($A625,emprunts!$A:$A,0))))</f>
        <v>41244</v>
      </c>
      <c r="E625" s="52">
        <f>INDEX(emprunts!I:I,MATCH($A625,emprunts!$A:$A,0))</f>
        <v>25</v>
      </c>
      <c r="F625" s="18" t="str">
        <f>INDEX(emprunts!P:P,MATCH($A625,emprunts!$A:$A,0))</f>
        <v>Pente</v>
      </c>
      <c r="G625" s="126" t="str">
        <f>IF(LEFT(A625,3)="vx_","vx",INDEX(Categorie,MATCH($A625,emprunts!$A$2:$A$149,0)))</f>
        <v>Struct</v>
      </c>
      <c r="H625">
        <v>2011</v>
      </c>
      <c r="I625">
        <f t="shared" si="106"/>
        <v>1</v>
      </c>
      <c r="N625" s="14"/>
      <c r="O625" s="14">
        <v>7383947</v>
      </c>
      <c r="P625" s="4">
        <v>2.1614000000000001E-2</v>
      </c>
      <c r="Q625" s="14">
        <v>172751.94</v>
      </c>
      <c r="R625" s="14">
        <v>540959.07999999996</v>
      </c>
      <c r="S625" s="14"/>
      <c r="T625" s="14">
        <v>13229.5</v>
      </c>
      <c r="U625" s="14">
        <f>SUM(Q625:S625)</f>
        <v>713711.02</v>
      </c>
      <c r="V625" s="14">
        <f t="shared" si="94"/>
        <v>0</v>
      </c>
      <c r="X625" s="85">
        <f t="shared" si="108"/>
        <v>0</v>
      </c>
      <c r="Y625" s="21">
        <f t="shared" si="112"/>
        <v>2.2377492056172583E-2</v>
      </c>
      <c r="AA625" s="55">
        <f t="shared" si="95"/>
        <v>170817.59</v>
      </c>
      <c r="AB625" s="55">
        <f t="shared" si="96"/>
        <v>8.0000000074505806E-2</v>
      </c>
      <c r="AC625" s="55">
        <f t="shared" si="110"/>
        <v>7633455.5083835619</v>
      </c>
    </row>
    <row r="626" spans="1:29">
      <c r="A626" t="s">
        <v>265</v>
      </c>
      <c r="B626" s="16" t="str">
        <f>INDEX(emprunts!C:C,MATCH($A626,emprunts!A:A,0))</f>
        <v>Dexia CL</v>
      </c>
      <c r="C626" s="18">
        <f>INDEX(emprunts!M:M,MATCH($A626,emprunts!$A:$A,0))</f>
        <v>39899</v>
      </c>
      <c r="D626" s="18">
        <f>IF(INDEX(emprunts!O:O,MATCH($A626,emprunts!$A:$A,0))="",INDEX(emprunts!N:N,MATCH($A626,emprunts!$A:$A,0)),MIN(INDEX(emprunts!N:N,MATCH($A626,emprunts!$A:$A,0)),INDEX(emprunts!O:O,MATCH($A626,emprunts!$A:$A,0))))</f>
        <v>47209</v>
      </c>
      <c r="E626" s="52">
        <f>INDEX(emprunts!I:I,MATCH($A626,emprunts!$A:$A,0))</f>
        <v>20</v>
      </c>
      <c r="F626" s="18" t="str">
        <f>INDEX(emprunts!P:P,MATCH($A626,emprunts!$A:$A,0))</f>
        <v>Fixe</v>
      </c>
      <c r="G626" s="126" t="str">
        <f>IF(LEFT(A626,3)="vx_","vx",INDEX(Categorie,MATCH($A626,emprunts!$A$2:$A$149,0)))</f>
        <v>Non_st</v>
      </c>
      <c r="H626">
        <v>2011</v>
      </c>
      <c r="I626">
        <f t="shared" si="106"/>
        <v>1</v>
      </c>
      <c r="N626" s="14"/>
      <c r="O626" s="14">
        <v>5508282</v>
      </c>
      <c r="P626" s="4">
        <v>4.5453E-2</v>
      </c>
      <c r="Q626" s="14">
        <v>255998.24</v>
      </c>
      <c r="R626" s="14">
        <v>203281.92000000001</v>
      </c>
      <c r="S626" s="14"/>
      <c r="T626" s="14">
        <v>62376.22</v>
      </c>
      <c r="U626" s="14">
        <f>SUM(Q626:S626)</f>
        <v>459280.16000000003</v>
      </c>
      <c r="V626" s="14">
        <f t="shared" si="94"/>
        <v>0</v>
      </c>
      <c r="X626" s="85">
        <f t="shared" si="108"/>
        <v>0</v>
      </c>
      <c r="Y626" s="21">
        <f t="shared" si="112"/>
        <v>4.5046136070336876E-2</v>
      </c>
      <c r="AA626" s="55">
        <f t="shared" si="95"/>
        <v>252013.00956738958</v>
      </c>
      <c r="AB626" s="55">
        <f t="shared" si="96"/>
        <v>-8.0000000074505806E-2</v>
      </c>
      <c r="AC626" s="55">
        <f t="shared" si="110"/>
        <v>5594553.3080547946</v>
      </c>
    </row>
    <row r="627" spans="1:29">
      <c r="A627" t="s">
        <v>267</v>
      </c>
      <c r="B627" s="16" t="str">
        <f>INDEX(emprunts!C:C,MATCH($A627,emprunts!A:A,0))</f>
        <v>Société Générale</v>
      </c>
      <c r="C627" s="18">
        <f>INDEX(emprunts!M:M,MATCH($A627,emprunts!$A:$A,0))</f>
        <v>39904</v>
      </c>
      <c r="D627" s="18">
        <f>IF(INDEX(emprunts!O:O,MATCH($A627,emprunts!$A:$A,0))="",INDEX(emprunts!N:N,MATCH($A627,emprunts!$A:$A,0)),MIN(INDEX(emprunts!N:N,MATCH($A627,emprunts!$A:$A,0)),INDEX(emprunts!O:O,MATCH($A627,emprunts!$A:$A,0))))</f>
        <v>40452</v>
      </c>
      <c r="E627" s="52">
        <f>INDEX(emprunts!I:I,MATCH($A627,emprunts!$A:$A,0))</f>
        <v>18</v>
      </c>
      <c r="F627" s="18" t="str">
        <f>INDEX(emprunts!P:P,MATCH($A627,emprunts!$A:$A,0))</f>
        <v>Change</v>
      </c>
      <c r="G627" s="126" t="str">
        <f>IF(LEFT(A627,3)="vx_","vx",INDEX(Categorie,MATCH($A627,emprunts!$A$2:$A$149,0)))</f>
        <v>Struct</v>
      </c>
      <c r="H627">
        <v>2011</v>
      </c>
      <c r="I627">
        <f t="shared" si="106"/>
        <v>1</v>
      </c>
      <c r="N627" s="14"/>
      <c r="O627" s="14"/>
      <c r="Q627" s="14"/>
      <c r="R627" s="14"/>
      <c r="S627" s="14"/>
      <c r="T627" s="14"/>
      <c r="U627" s="14"/>
      <c r="V627" s="14" t="str">
        <f t="shared" si="94"/>
        <v/>
      </c>
      <c r="X627" s="85">
        <f t="shared" si="108"/>
        <v>0</v>
      </c>
      <c r="Y627" s="21" t="str">
        <f t="shared" si="112"/>
        <v/>
      </c>
      <c r="AA627" s="55">
        <f t="shared" si="95"/>
        <v>-92759.75</v>
      </c>
      <c r="AB627" s="55">
        <f t="shared" si="96"/>
        <v>0</v>
      </c>
      <c r="AC627" s="55">
        <f t="shared" si="110"/>
        <v>0</v>
      </c>
    </row>
    <row r="628" spans="1:29">
      <c r="A628" t="s">
        <v>269</v>
      </c>
      <c r="B628" s="16" t="str">
        <f>INDEX(emprunts!C:C,MATCH($A628,emprunts!A:A,0))</f>
        <v>Dexia CL</v>
      </c>
      <c r="C628" s="18">
        <f>INDEX(emprunts!M:M,MATCH($A628,emprunts!$A:$A,0))</f>
        <v>40087</v>
      </c>
      <c r="D628" s="18">
        <f>IF(INDEX(emprunts!O:O,MATCH($A628,emprunts!$A:$A,0))="",INDEX(emprunts!N:N,MATCH($A628,emprunts!$A:$A,0)),MIN(INDEX(emprunts!N:N,MATCH($A628,emprunts!$A:$A,0)),INDEX(emprunts!O:O,MATCH($A628,emprunts!$A:$A,0))))</f>
        <v>40452</v>
      </c>
      <c r="E628" s="52">
        <f>INDEX(emprunts!I:I,MATCH($A628,emprunts!$A:$A,0))</f>
        <v>16</v>
      </c>
      <c r="F628" s="18" t="str">
        <f>INDEX(emprunts!P:P,MATCH($A628,emprunts!$A:$A,0))</f>
        <v>Change</v>
      </c>
      <c r="G628" s="126" t="str">
        <f>IF(LEFT(A628,3)="vx_","vx",INDEX(Categorie,MATCH($A628,emprunts!$A$2:$A$149,0)))</f>
        <v>Struct</v>
      </c>
      <c r="H628">
        <v>2011</v>
      </c>
      <c r="I628">
        <f t="shared" si="106"/>
        <v>1</v>
      </c>
      <c r="N628" s="14"/>
      <c r="O628" s="14"/>
      <c r="Q628" s="14"/>
      <c r="R628" s="14"/>
      <c r="S628" s="14"/>
      <c r="T628" s="14"/>
      <c r="U628" s="14"/>
      <c r="V628" s="14" t="str">
        <f t="shared" si="94"/>
        <v/>
      </c>
      <c r="X628" s="85">
        <f t="shared" si="108"/>
        <v>0</v>
      </c>
      <c r="Y628" s="21" t="str">
        <f t="shared" si="112"/>
        <v/>
      </c>
      <c r="AA628" s="55">
        <f t="shared" si="95"/>
        <v>-90730.74</v>
      </c>
      <c r="AB628" s="55">
        <f t="shared" si="96"/>
        <v>0</v>
      </c>
      <c r="AC628" s="55">
        <f t="shared" si="110"/>
        <v>0</v>
      </c>
    </row>
    <row r="629" spans="1:29">
      <c r="A629" t="s">
        <v>270</v>
      </c>
      <c r="B629" s="16" t="str">
        <f>INDEX(emprunts!C:C,MATCH($A629,emprunts!A:A,0))</f>
        <v>Dexia CL</v>
      </c>
      <c r="C629" s="18">
        <f>INDEX(emprunts!M:M,MATCH($A629,emprunts!$A:$A,0))</f>
        <v>40118</v>
      </c>
      <c r="D629" s="18">
        <f>IF(INDEX(emprunts!O:O,MATCH($A629,emprunts!$A:$A,0))="",INDEX(emprunts!N:N,MATCH($A629,emprunts!$A:$A,0)),MIN(INDEX(emprunts!N:N,MATCH($A629,emprunts!$A:$A,0)),INDEX(emprunts!O:O,MATCH($A629,emprunts!$A:$A,0))))</f>
        <v>43040</v>
      </c>
      <c r="E629" s="52">
        <f>INDEX(emprunts!I:I,MATCH($A629,emprunts!$A:$A,0))</f>
        <v>23</v>
      </c>
      <c r="F629" s="18" t="str">
        <f>INDEX(emprunts!P:P,MATCH($A629,emprunts!$A:$A,0))</f>
        <v>Pente</v>
      </c>
      <c r="G629" s="126" t="str">
        <f>IF(LEFT(A629,3)="vx_","vx",INDEX(Categorie,MATCH($A629,emprunts!$A$2:$A$149,0)))</f>
        <v>Struct</v>
      </c>
      <c r="H629">
        <v>2011</v>
      </c>
      <c r="I629">
        <f t="shared" si="106"/>
        <v>1</v>
      </c>
      <c r="N629" s="14"/>
      <c r="O629" s="14">
        <v>12130288</v>
      </c>
      <c r="P629" s="4">
        <v>3.7945E-2</v>
      </c>
      <c r="Q629" s="14">
        <v>474030.7</v>
      </c>
      <c r="R629" s="14">
        <v>370704.69</v>
      </c>
      <c r="S629" s="14"/>
      <c r="T629" s="14">
        <v>75612.13</v>
      </c>
      <c r="U629" s="14">
        <f t="shared" ref="U629:U635" si="113">SUM(Q629:S629)</f>
        <v>844735.39</v>
      </c>
      <c r="V629" s="14">
        <f t="shared" si="94"/>
        <v>0</v>
      </c>
      <c r="X629" s="85">
        <f t="shared" si="108"/>
        <v>0</v>
      </c>
      <c r="Y629" s="21">
        <f t="shared" si="112"/>
        <v>3.7774991075454234E-2</v>
      </c>
      <c r="AA629" s="55">
        <f t="shared" si="95"/>
        <v>463948.62000000005</v>
      </c>
      <c r="AB629" s="55">
        <f t="shared" si="96"/>
        <v>-0.31000000052154064</v>
      </c>
      <c r="AC629" s="55">
        <f t="shared" si="110"/>
        <v>12281898.864602741</v>
      </c>
    </row>
    <row r="630" spans="1:29">
      <c r="A630" t="s">
        <v>272</v>
      </c>
      <c r="B630" s="16" t="str">
        <f>INDEX(emprunts!C:C,MATCH($A630,emprunts!A:A,0))</f>
        <v>Dexia CL</v>
      </c>
      <c r="C630" s="18">
        <f>INDEX(emprunts!M:M,MATCH($A630,emprunts!$A:$A,0))</f>
        <v>40133</v>
      </c>
      <c r="D630" s="18">
        <f>IF(INDEX(emprunts!O:O,MATCH($A630,emprunts!$A:$A,0))="",INDEX(emprunts!N:N,MATCH($A630,emprunts!$A:$A,0)),MIN(INDEX(emprunts!N:N,MATCH($A630,emprunts!$A:$A,0)),INDEX(emprunts!O:O,MATCH($A630,emprunts!$A:$A,0))))</f>
        <v>40878</v>
      </c>
      <c r="E630" s="52">
        <f>INDEX(emprunts!I:I,MATCH($A630,emprunts!$A:$A,0))</f>
        <v>25</v>
      </c>
      <c r="F630" s="18" t="str">
        <f>INDEX(emprunts!P:P,MATCH($A630,emprunts!$A:$A,0))</f>
        <v>Variable</v>
      </c>
      <c r="G630" s="126" t="str">
        <f>IF(LEFT(A630,3)="vx_","vx",INDEX(Categorie,MATCH($A630,emprunts!$A$2:$A$149,0)))</f>
        <v>Non_st</v>
      </c>
      <c r="H630">
        <v>2011</v>
      </c>
      <c r="I630">
        <f t="shared" si="106"/>
        <v>1</v>
      </c>
      <c r="N630" s="14">
        <v>5000000</v>
      </c>
      <c r="O630" s="14">
        <v>0</v>
      </c>
      <c r="P630" s="4">
        <v>1.47E-2</v>
      </c>
      <c r="Q630" s="14">
        <v>48856.36</v>
      </c>
      <c r="R630" s="14">
        <v>174269.67</v>
      </c>
      <c r="S630" s="14"/>
      <c r="T630" s="14"/>
      <c r="U630" s="14">
        <f t="shared" si="113"/>
        <v>223126.03000000003</v>
      </c>
      <c r="V630" s="14">
        <f t="shared" ref="V630:V674" si="114">IF(U630="","",U630-SUM(Q630:S630))</f>
        <v>0</v>
      </c>
      <c r="X630" s="85">
        <f t="shared" si="108"/>
        <v>4825730</v>
      </c>
      <c r="Y630" s="21">
        <f t="shared" si="112"/>
        <v>1.0559306301529552E-2</v>
      </c>
      <c r="AA630" s="55">
        <f t="shared" si="95"/>
        <v>47470.5</v>
      </c>
      <c r="AB630" s="55">
        <f t="shared" si="96"/>
        <v>-0.33000000007450581</v>
      </c>
      <c r="AC630" s="55">
        <f t="shared" si="110"/>
        <v>4495607.8216164382</v>
      </c>
    </row>
    <row r="631" spans="1:29" ht="30">
      <c r="A631" t="s">
        <v>274</v>
      </c>
      <c r="B631" s="16" t="str">
        <f>INDEX(emprunts!C:C,MATCH($A631,emprunts!A:A,0))</f>
        <v>Caisse d'Épargne</v>
      </c>
      <c r="C631" s="18">
        <f>INDEX(emprunts!M:M,MATCH($A631,emprunts!$A:$A,0))</f>
        <v>40142</v>
      </c>
      <c r="D631" s="18">
        <f>IF(INDEX(emprunts!O:O,MATCH($A631,emprunts!$A:$A,0))="",INDEX(emprunts!N:N,MATCH($A631,emprunts!$A:$A,0)),MIN(INDEX(emprunts!N:N,MATCH($A631,emprunts!$A:$A,0)),INDEX(emprunts!O:O,MATCH($A631,emprunts!$A:$A,0))))</f>
        <v>46351</v>
      </c>
      <c r="E631" s="52">
        <f>INDEX(emprunts!I:I,MATCH($A631,emprunts!$A:$A,0))</f>
        <v>17</v>
      </c>
      <c r="F631" s="18" t="str">
        <f>INDEX(emprunts!P:P,MATCH($A631,emprunts!$A:$A,0))</f>
        <v>Fixe</v>
      </c>
      <c r="G631" s="126" t="str">
        <f>IF(LEFT(A631,3)="vx_","vx",INDEX(Categorie,MATCH($A631,emprunts!$A$2:$A$149,0)))</f>
        <v>Restr_sec</v>
      </c>
      <c r="H631">
        <v>2011</v>
      </c>
      <c r="I631">
        <f t="shared" si="106"/>
        <v>1</v>
      </c>
      <c r="N631" s="14"/>
      <c r="O631" s="14">
        <v>4049984</v>
      </c>
      <c r="P631" s="4">
        <v>4.7684999999999998E-2</v>
      </c>
      <c r="Q631" s="14">
        <v>202656.64000000001</v>
      </c>
      <c r="R631" s="14">
        <v>202792.95</v>
      </c>
      <c r="S631" s="14"/>
      <c r="T631" s="14">
        <v>19034.93</v>
      </c>
      <c r="U631" s="14">
        <f t="shared" si="113"/>
        <v>405449.59</v>
      </c>
      <c r="V631" s="14">
        <f t="shared" si="114"/>
        <v>0</v>
      </c>
      <c r="X631" s="85">
        <f t="shared" si="108"/>
        <v>0</v>
      </c>
      <c r="Y631" s="21">
        <f t="shared" si="112"/>
        <v>5.3548600065313284E-2</v>
      </c>
      <c r="AA631" s="55">
        <f t="shared" si="95"/>
        <v>221691.57</v>
      </c>
      <c r="AB631" s="55">
        <f t="shared" si="96"/>
        <v>-4.9999999813735485E-2</v>
      </c>
      <c r="AC631" s="55">
        <f t="shared" si="110"/>
        <v>4140006.8298630137</v>
      </c>
    </row>
    <row r="632" spans="1:29">
      <c r="A632" t="s">
        <v>276</v>
      </c>
      <c r="B632" s="16" t="str">
        <f>INDEX(emprunts!C:C,MATCH($A632,emprunts!A:A,0))</f>
        <v>Arkea</v>
      </c>
      <c r="C632" s="18">
        <f>INDEX(emprunts!M:M,MATCH($A632,emprunts!$A:$A,0))</f>
        <v>40168</v>
      </c>
      <c r="D632" s="18">
        <f>IF(INDEX(emprunts!O:O,MATCH($A632,emprunts!$A:$A,0))="",INDEX(emprunts!N:N,MATCH($A632,emprunts!$A:$A,0)),MIN(INDEX(emprunts!N:N,MATCH($A632,emprunts!$A:$A,0)),INDEX(emprunts!O:O,MATCH($A632,emprunts!$A:$A,0))))</f>
        <v>47786</v>
      </c>
      <c r="E632" s="52">
        <f>INDEX(emprunts!I:I,MATCH($A632,emprunts!$A:$A,0))</f>
        <v>20</v>
      </c>
      <c r="F632" s="18" t="str">
        <f>INDEX(emprunts!P:P,MATCH($A632,emprunts!$A:$A,0))</f>
        <v>Variable</v>
      </c>
      <c r="G632" s="126" t="str">
        <f>IF(LEFT(A632,3)="vx_","vx",INDEX(Categorie,MATCH($A632,emprunts!$A$2:$A$149,0)))</f>
        <v>Non_st</v>
      </c>
      <c r="H632">
        <v>2011</v>
      </c>
      <c r="I632">
        <f t="shared" si="106"/>
        <v>1</v>
      </c>
      <c r="N632" s="14"/>
      <c r="O632" s="14">
        <v>9565445</v>
      </c>
      <c r="P632" s="4">
        <v>2.0500000000000001E-2</v>
      </c>
      <c r="Q632" s="14">
        <v>144220.16</v>
      </c>
      <c r="R632" s="14">
        <v>434555.15</v>
      </c>
      <c r="S632" s="14"/>
      <c r="T632" s="14">
        <v>32715.86</v>
      </c>
      <c r="U632" s="14">
        <f t="shared" si="113"/>
        <v>578775.31000000006</v>
      </c>
      <c r="V632" s="14">
        <f t="shared" si="114"/>
        <v>0</v>
      </c>
      <c r="X632" s="85">
        <f t="shared" si="108"/>
        <v>0</v>
      </c>
      <c r="Y632" s="21">
        <f t="shared" si="112"/>
        <v>1.8136271023410169E-2</v>
      </c>
      <c r="AA632" s="55">
        <f t="shared" si="95"/>
        <v>176936.02000000002</v>
      </c>
      <c r="AB632" s="55">
        <f t="shared" si="96"/>
        <v>0.15000000037252903</v>
      </c>
      <c r="AC632" s="55">
        <f t="shared" si="110"/>
        <v>9755920.5953424647</v>
      </c>
    </row>
    <row r="633" spans="1:29">
      <c r="A633" t="s">
        <v>284</v>
      </c>
      <c r="B633" s="16" t="str">
        <f>INDEX(emprunts!C:C,MATCH($A633,emprunts!A:A,0))</f>
        <v>Société Générale</v>
      </c>
      <c r="C633" s="18">
        <f>INDEX(emprunts!M:M,MATCH($A633,emprunts!$A:$A,0))</f>
        <v>40452</v>
      </c>
      <c r="D633" s="18">
        <f>IF(INDEX(emprunts!O:O,MATCH($A633,emprunts!$A:$A,0))="",INDEX(emprunts!N:N,MATCH($A633,emprunts!$A:$A,0)),MIN(INDEX(emprunts!N:N,MATCH($A633,emprunts!$A:$A,0)),INDEX(emprunts!O:O,MATCH($A633,emprunts!$A:$A,0))))</f>
        <v>41640</v>
      </c>
      <c r="E633" s="52">
        <f>INDEX(emprunts!I:I,MATCH($A633,emprunts!$A:$A,0))</f>
        <v>25</v>
      </c>
      <c r="F633" s="18" t="str">
        <f>INDEX(emprunts!P:P,MATCH($A633,emprunts!$A:$A,0))</f>
        <v>Barrière avec multiplicateur</v>
      </c>
      <c r="G633" s="126" t="str">
        <f>IF(LEFT(A633,3)="vx_","vx",INDEX(Categorie,MATCH($A633,emprunts!$A$2:$A$149,0)))</f>
        <v>Struct</v>
      </c>
      <c r="H633">
        <v>2011</v>
      </c>
      <c r="I633">
        <f t="shared" si="106"/>
        <v>1</v>
      </c>
      <c r="N633" s="14"/>
      <c r="O633" s="14">
        <v>4382076</v>
      </c>
      <c r="P633" s="4">
        <v>4.0481999999999997E-2</v>
      </c>
      <c r="Q633" s="14">
        <v>181067.03</v>
      </c>
      <c r="R633" s="14">
        <v>93780.19</v>
      </c>
      <c r="S633" s="14"/>
      <c r="T633" s="14">
        <v>176787.55</v>
      </c>
      <c r="U633" s="14">
        <f t="shared" si="113"/>
        <v>274847.21999999997</v>
      </c>
      <c r="V633" s="14">
        <f t="shared" si="114"/>
        <v>0</v>
      </c>
      <c r="X633" s="85">
        <f t="shared" si="108"/>
        <v>0</v>
      </c>
      <c r="Y633" s="21">
        <f t="shared" si="112"/>
        <v>8.1020646643270813E-2</v>
      </c>
      <c r="AA633" s="55">
        <f t="shared" si="95"/>
        <v>357854.57999999996</v>
      </c>
      <c r="AB633" s="55">
        <f t="shared" si="96"/>
        <v>0.19000000040978193</v>
      </c>
      <c r="AC633" s="55">
        <f t="shared" si="110"/>
        <v>4416831.9413150679</v>
      </c>
    </row>
    <row r="634" spans="1:29">
      <c r="A634" t="s">
        <v>286</v>
      </c>
      <c r="B634" s="16" t="str">
        <f>INDEX(emprunts!C:C,MATCH($A634,emprunts!A:A,0))</f>
        <v>Dexia CL</v>
      </c>
      <c r="C634" s="18">
        <f>INDEX(emprunts!M:M,MATCH($A634,emprunts!$A:$A,0))</f>
        <v>40179</v>
      </c>
      <c r="D634" s="18">
        <f>IF(INDEX(emprunts!O:O,MATCH($A634,emprunts!$A:$A,0))="",INDEX(emprunts!N:N,MATCH($A634,emprunts!$A:$A,0)),MIN(INDEX(emprunts!N:N,MATCH($A634,emprunts!$A:$A,0)),INDEX(emprunts!O:O,MATCH($A634,emprunts!$A:$A,0))))</f>
        <v>40848</v>
      </c>
      <c r="E634" s="52">
        <f>INDEX(emprunts!I:I,MATCH($A634,emprunts!$A:$A,0))</f>
        <v>23</v>
      </c>
      <c r="F634" s="18" t="str">
        <f>INDEX(emprunts!P:P,MATCH($A634,emprunts!$A:$A,0))</f>
        <v>Barrière avec multiplicateur</v>
      </c>
      <c r="G634" s="126" t="str">
        <f>IF(LEFT(A634,3)="vx_","vx",INDEX(Categorie,MATCH($A634,emprunts!$A$2:$A$149,0)))</f>
        <v>Struct</v>
      </c>
      <c r="H634">
        <v>2011</v>
      </c>
      <c r="I634">
        <f t="shared" si="106"/>
        <v>1</v>
      </c>
      <c r="N634" s="14">
        <v>9799674.4199999999</v>
      </c>
      <c r="O634" s="14">
        <v>0</v>
      </c>
      <c r="P634" s="4"/>
      <c r="Q634" s="14">
        <v>536092.52</v>
      </c>
      <c r="R634" s="14">
        <v>412099.97</v>
      </c>
      <c r="S634" s="14"/>
      <c r="T634" s="14">
        <v>0</v>
      </c>
      <c r="U634" s="14">
        <f t="shared" si="113"/>
        <v>948192.49</v>
      </c>
      <c r="V634" s="14">
        <f t="shared" si="114"/>
        <v>0</v>
      </c>
      <c r="X634" s="85">
        <f t="shared" si="108"/>
        <v>9366000</v>
      </c>
      <c r="Y634" s="21">
        <f t="shared" si="112"/>
        <v>6.724408224529016E-2</v>
      </c>
      <c r="AA634" s="55">
        <f t="shared" si="95"/>
        <v>536092.52</v>
      </c>
      <c r="AB634" s="55">
        <f t="shared" si="96"/>
        <v>-21574.029999999329</v>
      </c>
      <c r="AC634" s="55">
        <f t="shared" si="110"/>
        <v>7972337.5217534248</v>
      </c>
    </row>
    <row r="635" spans="1:29">
      <c r="A635" t="s">
        <v>288</v>
      </c>
      <c r="B635" s="16" t="str">
        <f>INDEX(emprunts!C:C,MATCH($A635,emprunts!A:A,0))</f>
        <v>Société Générale</v>
      </c>
      <c r="C635" s="18">
        <f>INDEX(emprunts!M:M,MATCH($A635,emprunts!$A:$A,0))</f>
        <v>40452</v>
      </c>
      <c r="D635" s="18">
        <f>IF(INDEX(emprunts!O:O,MATCH($A635,emprunts!$A:$A,0))="",INDEX(emprunts!N:N,MATCH($A635,emprunts!$A:$A,0)),MIN(INDEX(emprunts!N:N,MATCH($A635,emprunts!$A:$A,0)),INDEX(emprunts!O:O,MATCH($A635,emprunts!$A:$A,0))))</f>
        <v>41730</v>
      </c>
      <c r="E635" s="52">
        <f>INDEX(emprunts!I:I,MATCH($A635,emprunts!$A:$A,0))</f>
        <v>25</v>
      </c>
      <c r="F635" s="18" t="str">
        <f>INDEX(emprunts!P:P,MATCH($A635,emprunts!$A:$A,0))</f>
        <v>Barrière avec multiplicateur</v>
      </c>
      <c r="G635" s="126" t="str">
        <f>IF(LEFT(A635,3)="vx_","vx",INDEX(Categorie,MATCH($A635,emprunts!$A$2:$A$149,0)))</f>
        <v>Struct</v>
      </c>
      <c r="H635">
        <v>2011</v>
      </c>
      <c r="I635">
        <f t="shared" si="106"/>
        <v>1</v>
      </c>
      <c r="N635" s="14"/>
      <c r="O635" s="14">
        <v>3653307</v>
      </c>
      <c r="P635" s="4">
        <v>4.0481999999999997E-2</v>
      </c>
      <c r="Q635" s="14">
        <v>150954.35999999999</v>
      </c>
      <c r="R635" s="14">
        <v>78183.899999999994</v>
      </c>
      <c r="S635" s="14"/>
      <c r="T635" s="14">
        <v>110944.85</v>
      </c>
      <c r="U635" s="14">
        <f t="shared" si="113"/>
        <v>229138.25999999998</v>
      </c>
      <c r="V635" s="14">
        <f t="shared" si="114"/>
        <v>0</v>
      </c>
      <c r="X635" s="85">
        <f t="shared" si="108"/>
        <v>0</v>
      </c>
      <c r="Y635" s="21">
        <f t="shared" si="112"/>
        <v>7.1124143647634766E-2</v>
      </c>
      <c r="AA635" s="55">
        <f t="shared" ref="AA635:AA698" si="115">T635+Q635+S635-SUMPRODUCT(($A$123:$A$1367=$A635)*($H$123:$H$1367=$H635-1),$T$123:$T$1367)</f>
        <v>261899.21</v>
      </c>
      <c r="AB635" s="55">
        <f t="shared" ref="AB635:AB698" si="116">IF(YEAR(C635)=H635,"",O635+R635+X635-W635-SUMPRODUCT(($A$123:$A$1367=$A635)*($H$123:$H$1367=$H635-1),$O$123:$O$1367))</f>
        <v>-0.10000000009313226</v>
      </c>
      <c r="AC635" s="55">
        <f t="shared" si="110"/>
        <v>3682282.7884931508</v>
      </c>
    </row>
    <row r="636" spans="1:29">
      <c r="A636" t="s">
        <v>289</v>
      </c>
      <c r="B636" s="16" t="str">
        <f>INDEX(emprunts!C:C,MATCH($A636,emprunts!A:A,0))</f>
        <v>Dexia CL</v>
      </c>
      <c r="C636" s="18">
        <f>INDEX(emprunts!M:M,MATCH($A636,emprunts!$A:$A,0))</f>
        <v>40299</v>
      </c>
      <c r="D636" s="18">
        <f>IF(INDEX(emprunts!O:O,MATCH($A636,emprunts!$A:$A,0))="",INDEX(emprunts!N:N,MATCH($A636,emprunts!$A:$A,0)),MIN(INDEX(emprunts!N:N,MATCH($A636,emprunts!$A:$A,0)),INDEX(emprunts!O:O,MATCH($A636,emprunts!$A:$A,0))))</f>
        <v>40737</v>
      </c>
      <c r="E636" s="52">
        <f>INDEX(emprunts!I:I,MATCH($A636,emprunts!$A:$A,0))</f>
        <v>19</v>
      </c>
      <c r="F636" s="18" t="str">
        <f>INDEX(emprunts!P:P,MATCH($A636,emprunts!$A:$A,0))</f>
        <v>Barrière avec multiplicateur</v>
      </c>
      <c r="G636" s="126" t="str">
        <f>IF(LEFT(A636,3)="vx_","vx",INDEX(Categorie,MATCH($A636,emprunts!$A$2:$A$149,0)))</f>
        <v>Struct</v>
      </c>
      <c r="H636">
        <v>2011</v>
      </c>
      <c r="I636">
        <f t="shared" si="106"/>
        <v>1</v>
      </c>
      <c r="N636" s="14">
        <v>15028837.359999999</v>
      </c>
      <c r="O636" s="14">
        <v>0</v>
      </c>
      <c r="Q636" s="14">
        <v>505083.96</v>
      </c>
      <c r="R636" s="14">
        <v>480314.86</v>
      </c>
      <c r="S636" s="14"/>
      <c r="T636" s="14">
        <v>0</v>
      </c>
      <c r="U636" s="14">
        <f>SUM(Q636:T636)</f>
        <v>985398.82000000007</v>
      </c>
      <c r="V636" s="14">
        <f t="shared" si="114"/>
        <v>0</v>
      </c>
      <c r="X636" s="85">
        <f t="shared" si="108"/>
        <v>14548000</v>
      </c>
      <c r="Y636" s="21">
        <f t="shared" si="112"/>
        <v>6.4592942186947028E-2</v>
      </c>
      <c r="AA636" s="55">
        <f t="shared" si="115"/>
        <v>505083.96</v>
      </c>
      <c r="AB636" s="55">
        <f t="shared" si="116"/>
        <v>-322.14000000059605</v>
      </c>
      <c r="AC636" s="55">
        <f t="shared" si="110"/>
        <v>7819491.4629863016</v>
      </c>
    </row>
    <row r="637" spans="1:29">
      <c r="A637" t="s">
        <v>300</v>
      </c>
      <c r="B637" s="16" t="str">
        <f>INDEX(emprunts!C:C,MATCH($A637,emprunts!A:A,0))</f>
        <v>Dexia CL</v>
      </c>
      <c r="C637" s="18">
        <f>INDEX(emprunts!M:M,MATCH($A637,emprunts!$A:$A,0))</f>
        <v>40452</v>
      </c>
      <c r="D637" s="18">
        <f>IF(INDEX(emprunts!O:O,MATCH($A637,emprunts!$A:$A,0))="",INDEX(emprunts!N:N,MATCH($A637,emprunts!$A:$A,0)),MIN(INDEX(emprunts!N:N,MATCH($A637,emprunts!$A:$A,0)),INDEX(emprunts!O:O,MATCH($A637,emprunts!$A:$A,0))))</f>
        <v>40664</v>
      </c>
      <c r="E637" s="52">
        <f>INDEX(emprunts!I:I,MATCH($A637,emprunts!$A:$A,0))</f>
        <v>12</v>
      </c>
      <c r="F637" s="18" t="str">
        <f>INDEX(emprunts!P:P,MATCH($A637,emprunts!$A:$A,0))</f>
        <v>Change</v>
      </c>
      <c r="G637" s="126" t="str">
        <f>IF(LEFT(A637,3)="vx_","vx",INDEX(Categorie,MATCH($A637,emprunts!$A$2:$A$149,0)))</f>
        <v>Struct</v>
      </c>
      <c r="H637">
        <v>2011</v>
      </c>
      <c r="I637">
        <f t="shared" si="106"/>
        <v>1</v>
      </c>
      <c r="N637" s="14">
        <v>7230653.3200000003</v>
      </c>
      <c r="O637" s="14">
        <v>0</v>
      </c>
      <c r="P637" s="4">
        <v>3.3480999999999997E-2</v>
      </c>
      <c r="Q637" s="14">
        <v>241925.62</v>
      </c>
      <c r="R637" s="14">
        <v>504783.04</v>
      </c>
      <c r="S637" s="14"/>
      <c r="T637" s="14">
        <v>0</v>
      </c>
      <c r="U637" s="14">
        <f>SUM(Q637:S637)</f>
        <v>746708.65999999992</v>
      </c>
      <c r="V637" s="14">
        <f t="shared" si="114"/>
        <v>0</v>
      </c>
      <c r="X637" s="85">
        <f t="shared" si="108"/>
        <v>6725870.4800000004</v>
      </c>
      <c r="Y637" s="21">
        <f t="shared" si="112"/>
        <v>0.10544990918464607</v>
      </c>
      <c r="Z637" t="s">
        <v>653</v>
      </c>
      <c r="AA637" s="55">
        <f t="shared" si="115"/>
        <v>241925.62</v>
      </c>
      <c r="AB637" s="55">
        <f t="shared" si="116"/>
        <v>-0.47999999951571226</v>
      </c>
      <c r="AC637" s="55">
        <f t="shared" si="110"/>
        <v>2294223.1232876712</v>
      </c>
    </row>
    <row r="638" spans="1:29">
      <c r="A638" t="s">
        <v>302</v>
      </c>
      <c r="B638" s="16" t="str">
        <f>INDEX(emprunts!C:C,MATCH($A638,emprunts!A:A,0))</f>
        <v>Dexia CL</v>
      </c>
      <c r="C638" s="18">
        <f>INDEX(emprunts!M:M,MATCH($A638,emprunts!$A:$A,0))</f>
        <v>40384</v>
      </c>
      <c r="D638" s="18">
        <f>IF(INDEX(emprunts!O:O,MATCH($A638,emprunts!$A:$A,0))="",INDEX(emprunts!N:N,MATCH($A638,emprunts!$A:$A,0)),MIN(INDEX(emprunts!N:N,MATCH($A638,emprunts!$A:$A,0)),INDEX(emprunts!O:O,MATCH($A638,emprunts!$A:$A,0))))</f>
        <v>45901</v>
      </c>
      <c r="E638" s="52">
        <f>INDEX(emprunts!I:I,MATCH($A638,emprunts!$A:$A,0))</f>
        <v>15</v>
      </c>
      <c r="F638" s="18" t="str">
        <f>INDEX(emprunts!P:P,MATCH($A638,emprunts!$A:$A,0))</f>
        <v>Fixe</v>
      </c>
      <c r="G638" s="126" t="str">
        <f>IF(LEFT(A638,3)="vx_","vx",INDEX(Categorie,MATCH($A638,emprunts!$A$2:$A$149,0)))</f>
        <v>Non_st</v>
      </c>
      <c r="H638">
        <v>2011</v>
      </c>
      <c r="I638">
        <f t="shared" si="106"/>
        <v>1</v>
      </c>
      <c r="N638" s="14"/>
      <c r="O638" s="14">
        <v>696258</v>
      </c>
      <c r="P638" s="4">
        <v>2.1399999999999999E-2</v>
      </c>
      <c r="Q638" s="14">
        <v>15478.03</v>
      </c>
      <c r="R638" s="14">
        <v>43108.05</v>
      </c>
      <c r="S638" s="14"/>
      <c r="T638" s="14">
        <v>1126.02</v>
      </c>
      <c r="U638" s="14">
        <f>SUM(Q638:S638)</f>
        <v>58586.080000000002</v>
      </c>
      <c r="V638" s="14">
        <f t="shared" si="114"/>
        <v>0</v>
      </c>
      <c r="X638" s="85">
        <f t="shared" si="108"/>
        <v>0</v>
      </c>
      <c r="Y638" s="21">
        <f t="shared" si="112"/>
        <v>2.3195021735638966E-2</v>
      </c>
      <c r="AA638" s="55">
        <f t="shared" si="115"/>
        <v>16604.05</v>
      </c>
      <c r="AB638" s="55">
        <f t="shared" si="116"/>
        <v>5.0000000046566129E-2</v>
      </c>
      <c r="AC638" s="55">
        <f t="shared" si="110"/>
        <v>715845.41671232879</v>
      </c>
    </row>
    <row r="639" spans="1:29" ht="30">
      <c r="A639" t="s">
        <v>304</v>
      </c>
      <c r="B639" s="16" t="str">
        <f>INDEX(emprunts!C:C,MATCH($A639,emprunts!A:A,0))</f>
        <v>Société Générale</v>
      </c>
      <c r="C639" s="18">
        <f>INDEX(emprunts!M:M,MATCH($A639,emprunts!$A:$A,0))</f>
        <v>40422</v>
      </c>
      <c r="D639" s="18">
        <f>IF(INDEX(emprunts!O:O,MATCH($A639,emprunts!$A:$A,0))="",INDEX(emprunts!N:N,MATCH($A639,emprunts!$A:$A,0)),MIN(INDEX(emprunts!N:N,MATCH($A639,emprunts!$A:$A,0)),INDEX(emprunts!O:O,MATCH($A639,emprunts!$A:$A,0))))</f>
        <v>47818</v>
      </c>
      <c r="E639" s="52">
        <f>INDEX(emprunts!I:I,MATCH($A639,emprunts!$A:$A,0))</f>
        <v>20</v>
      </c>
      <c r="F639" s="18" t="str">
        <f>INDEX(emprunts!P:P,MATCH($A639,emprunts!$A:$A,0))</f>
        <v>Fixe</v>
      </c>
      <c r="G639" s="126" t="str">
        <f>IF(LEFT(A639,3)="vx_","vx",INDEX(Categorie,MATCH($A639,emprunts!$A$2:$A$149,0)))</f>
        <v>Restr_sec</v>
      </c>
      <c r="H639">
        <v>2011</v>
      </c>
      <c r="I639">
        <f t="shared" si="106"/>
        <v>1</v>
      </c>
      <c r="N639" s="14"/>
      <c r="O639" s="14">
        <v>1736198</v>
      </c>
      <c r="P639" s="4">
        <v>4.3930999999999998E-2</v>
      </c>
      <c r="Q639" s="14">
        <v>76005.89</v>
      </c>
      <c r="R639" s="14">
        <v>54144.59</v>
      </c>
      <c r="S639" s="14"/>
      <c r="T639" s="14">
        <v>6264.78</v>
      </c>
      <c r="U639" s="14">
        <f>SUM(Q639:S639)</f>
        <v>130150.48</v>
      </c>
      <c r="V639" s="14">
        <f t="shared" si="114"/>
        <v>0</v>
      </c>
      <c r="X639" s="85">
        <f t="shared" si="108"/>
        <v>0</v>
      </c>
      <c r="Y639" s="21">
        <f t="shared" si="112"/>
        <v>4.6786183920926219E-2</v>
      </c>
      <c r="AA639" s="55">
        <f t="shared" si="115"/>
        <v>82270.67</v>
      </c>
      <c r="AB639" s="55">
        <f t="shared" si="116"/>
        <v>0.59000000008381903</v>
      </c>
      <c r="AC639" s="55">
        <f t="shared" si="110"/>
        <v>1758439.417479452</v>
      </c>
    </row>
    <row r="640" spans="1:29">
      <c r="A640" t="s">
        <v>306</v>
      </c>
      <c r="B640" s="16" t="str">
        <f>INDEX(emprunts!C:C,MATCH($A640,emprunts!A:A,0))</f>
        <v>Dexia CL</v>
      </c>
      <c r="C640" s="18">
        <f>INDEX(emprunts!M:M,MATCH($A640,emprunts!$A:$A,0))</f>
        <v>40452</v>
      </c>
      <c r="D640" s="18">
        <f>IF(INDEX(emprunts!O:O,MATCH($A640,emprunts!$A:$A,0))="",INDEX(emprunts!N:N,MATCH($A640,emprunts!$A:$A,0)),MIN(INDEX(emprunts!N:N,MATCH($A640,emprunts!$A:$A,0)),INDEX(emprunts!O:O,MATCH($A640,emprunts!$A:$A,0))))</f>
        <v>41030</v>
      </c>
      <c r="E640" s="52">
        <f>INDEX(emprunts!I:I,MATCH($A640,emprunts!$A:$A,0))</f>
        <v>15</v>
      </c>
      <c r="F640" s="18" t="str">
        <f>INDEX(emprunts!P:P,MATCH($A640,emprunts!$A:$A,0))</f>
        <v>Change</v>
      </c>
      <c r="G640" s="126" t="str">
        <f>IF(LEFT(A640,3)="vx_","vx",INDEX(Categorie,MATCH($A640,emprunts!$A$2:$A$149,0)))</f>
        <v>Struct</v>
      </c>
      <c r="H640">
        <v>2011</v>
      </c>
      <c r="I640">
        <f t="shared" si="106"/>
        <v>1</v>
      </c>
      <c r="N640" s="14">
        <v>10354303</v>
      </c>
      <c r="O640" s="14">
        <v>9874468</v>
      </c>
      <c r="P640" s="4">
        <v>3.3683999999999999E-2</v>
      </c>
      <c r="Q640" s="14">
        <v>348537.34</v>
      </c>
      <c r="R640" s="14">
        <v>479835</v>
      </c>
      <c r="S640" s="14"/>
      <c r="T640" s="14">
        <v>82868.73</v>
      </c>
      <c r="U640" s="14">
        <f>SUM(Q640:S640)</f>
        <v>828372.34000000008</v>
      </c>
      <c r="V640" s="14">
        <f t="shared" si="114"/>
        <v>0</v>
      </c>
      <c r="X640" s="85">
        <f t="shared" si="108"/>
        <v>0</v>
      </c>
      <c r="Y640" s="21">
        <f t="shared" si="112"/>
        <v>4.276989951697896E-2</v>
      </c>
      <c r="AA640" s="55">
        <f t="shared" si="115"/>
        <v>431406.07</v>
      </c>
      <c r="AB640" s="55">
        <f t="shared" si="116"/>
        <v>0</v>
      </c>
      <c r="AC640" s="55">
        <f t="shared" si="110"/>
        <v>10086674.854794521</v>
      </c>
    </row>
    <row r="641" spans="1:29">
      <c r="A641" t="s">
        <v>311</v>
      </c>
      <c r="B641" s="16" t="str">
        <f>INDEX(emprunts!C:C,MATCH($A641,emprunts!A:A,0))</f>
        <v>Dexia CL</v>
      </c>
      <c r="C641" s="18">
        <f>INDEX(emprunts!M:M,MATCH($A641,emprunts!$A:$A,0))</f>
        <v>40513</v>
      </c>
      <c r="D641" s="18">
        <f>IF(INDEX(emprunts!O:O,MATCH($A641,emprunts!$A:$A,0))="",INDEX(emprunts!N:N,MATCH($A641,emprunts!$A:$A,0)),MIN(INDEX(emprunts!N:N,MATCH($A641,emprunts!$A:$A,0)),INDEX(emprunts!O:O,MATCH($A641,emprunts!$A:$A,0))))</f>
        <v>40878</v>
      </c>
      <c r="E641" s="52">
        <f>INDEX(emprunts!I:I,MATCH($A641,emprunts!$A:$A,0))</f>
        <v>17</v>
      </c>
      <c r="F641" s="18" t="str">
        <f>INDEX(emprunts!P:P,MATCH($A641,emprunts!$A:$A,0))</f>
        <v>Change</v>
      </c>
      <c r="G641" s="126" t="str">
        <f>IF(LEFT(A641,3)="vx_","vx",INDEX(Categorie,MATCH($A641,emprunts!$A$2:$A$149,0)))</f>
        <v>Struct</v>
      </c>
      <c r="H641">
        <v>2011</v>
      </c>
      <c r="I641">
        <f t="shared" si="106"/>
        <v>1</v>
      </c>
      <c r="N641"/>
      <c r="O641" s="58">
        <v>0</v>
      </c>
      <c r="Q641" s="14">
        <v>523855.83</v>
      </c>
      <c r="R641" s="14">
        <v>400702.64</v>
      </c>
      <c r="S641" s="14"/>
      <c r="T641" s="14">
        <v>0</v>
      </c>
      <c r="U641" s="14">
        <f>SUM(Q641:T641)</f>
        <v>924558.47</v>
      </c>
      <c r="V641" s="14">
        <f t="shared" si="114"/>
        <v>0</v>
      </c>
      <c r="X641" s="85">
        <f t="shared" si="108"/>
        <v>9954000</v>
      </c>
      <c r="Y641" s="21">
        <f t="shared" si="112"/>
        <v>5.6377523433079127E-2</v>
      </c>
      <c r="AA641" s="55">
        <f t="shared" si="115"/>
        <v>523855.83</v>
      </c>
      <c r="AB641" s="55">
        <f t="shared" si="116"/>
        <v>399.64000000059605</v>
      </c>
      <c r="AC641" s="55">
        <f t="shared" si="110"/>
        <v>9291926.9613150693</v>
      </c>
    </row>
    <row r="642" spans="1:29" ht="30">
      <c r="A642" t="s">
        <v>313</v>
      </c>
      <c r="B642" s="16" t="str">
        <f>INDEX(emprunts!C:C,MATCH($A642,emprunts!A:A,0))</f>
        <v>Société Générale</v>
      </c>
      <c r="C642" s="18">
        <f>INDEX(emprunts!M:M,MATCH($A642,emprunts!$A:$A,0))</f>
        <v>40513</v>
      </c>
      <c r="D642" s="18">
        <f>IF(INDEX(emprunts!O:O,MATCH($A642,emprunts!$A:$A,0))="",INDEX(emprunts!N:N,MATCH($A642,emprunts!$A:$A,0)),MIN(INDEX(emprunts!N:N,MATCH($A642,emprunts!$A:$A,0)),INDEX(emprunts!O:O,MATCH($A642,emprunts!$A:$A,0))))</f>
        <v>47818</v>
      </c>
      <c r="E642" s="52">
        <f>INDEX(emprunts!I:I,MATCH($A642,emprunts!$A:$A,0))</f>
        <v>20</v>
      </c>
      <c r="F642" s="18" t="str">
        <f>INDEX(emprunts!P:P,MATCH($A642,emprunts!$A:$A,0))</f>
        <v>Fixe</v>
      </c>
      <c r="G642" s="126" t="str">
        <f>IF(LEFT(A642,3)="vx_","vx",INDEX(Categorie,MATCH($A642,emprunts!$A$2:$A$149,0)))</f>
        <v>Restr_sec</v>
      </c>
      <c r="H642">
        <v>2011</v>
      </c>
      <c r="I642">
        <f t="shared" si="106"/>
        <v>1</v>
      </c>
      <c r="N642"/>
      <c r="O642" s="58">
        <v>2494399</v>
      </c>
      <c r="P642" s="4">
        <v>4.3930999999999998E-2</v>
      </c>
      <c r="Q642" s="14">
        <v>112922.67</v>
      </c>
      <c r="R642" s="14">
        <v>77789.64</v>
      </c>
      <c r="S642" s="14"/>
      <c r="T642" s="14">
        <v>9000</v>
      </c>
      <c r="U642" s="14">
        <f t="shared" ref="U642:U653" si="117">SUM(Q642:S642)</f>
        <v>190712.31</v>
      </c>
      <c r="V642" s="14">
        <f t="shared" si="114"/>
        <v>0</v>
      </c>
      <c r="X642" s="85">
        <f t="shared" si="108"/>
        <v>0</v>
      </c>
      <c r="Y642" s="21">
        <f t="shared" si="112"/>
        <v>4.8260340519880915E-2</v>
      </c>
      <c r="AA642" s="55">
        <f t="shared" si="115"/>
        <v>121922.67</v>
      </c>
      <c r="AB642" s="55">
        <f t="shared" si="116"/>
        <v>-0.35999999986961484</v>
      </c>
      <c r="AC642" s="55">
        <f t="shared" si="110"/>
        <v>2526353.288986301</v>
      </c>
    </row>
    <row r="643" spans="1:29">
      <c r="A643" t="s">
        <v>314</v>
      </c>
      <c r="B643" s="16" t="str">
        <f>INDEX(emprunts!C:C,MATCH($A643,emprunts!A:A,0))</f>
        <v>Société Générale</v>
      </c>
      <c r="C643" s="18">
        <f>INDEX(emprunts!M:M,MATCH($A643,emprunts!$A:$A,0))</f>
        <v>40530</v>
      </c>
      <c r="D643" s="18">
        <f>IF(INDEX(emprunts!O:O,MATCH($A643,emprunts!$A:$A,0))="",INDEX(emprunts!N:N,MATCH($A643,emprunts!$A:$A,0)),MIN(INDEX(emprunts!N:N,MATCH($A643,emprunts!$A:$A,0)),INDEX(emprunts!O:O,MATCH($A643,emprunts!$A:$A,0))))</f>
        <v>46112</v>
      </c>
      <c r="E643" s="52">
        <f>INDEX(emprunts!I:I,MATCH($A643,emprunts!$A:$A,0))</f>
        <v>15</v>
      </c>
      <c r="F643" s="18" t="str">
        <f>INDEX(emprunts!P:P,MATCH($A643,emprunts!$A:$A,0))</f>
        <v>Variable</v>
      </c>
      <c r="G643" s="126" t="str">
        <f>IF(LEFT(A643,3)="vx_","vx",INDEX(Categorie,MATCH($A643,emprunts!$A$2:$A$149,0)))</f>
        <v>Non_st</v>
      </c>
      <c r="H643">
        <v>2011</v>
      </c>
      <c r="I643">
        <f t="shared" si="106"/>
        <v>1</v>
      </c>
      <c r="N643"/>
      <c r="O643" s="58">
        <v>7726972</v>
      </c>
      <c r="P643" s="4">
        <v>2.0271000000000001E-2</v>
      </c>
      <c r="Q643" s="14">
        <v>133590.94</v>
      </c>
      <c r="R643" s="14">
        <v>273027.62</v>
      </c>
      <c r="S643" s="14"/>
      <c r="T643" s="14">
        <v>0</v>
      </c>
      <c r="U643" s="14">
        <f t="shared" si="117"/>
        <v>406618.56</v>
      </c>
      <c r="V643" s="14">
        <f t="shared" si="114"/>
        <v>0</v>
      </c>
      <c r="X643" s="85">
        <f t="shared" si="108"/>
        <v>0</v>
      </c>
      <c r="Y643" s="21">
        <f t="shared" si="112"/>
        <v>1.7035440937220068E-2</v>
      </c>
      <c r="AA643" s="55">
        <f t="shared" si="115"/>
        <v>133590.94</v>
      </c>
      <c r="AB643" s="55">
        <f t="shared" si="116"/>
        <v>7999999.6200000001</v>
      </c>
      <c r="AC643" s="55">
        <f t="shared" si="110"/>
        <v>7841942.0132602733</v>
      </c>
    </row>
    <row r="644" spans="1:29">
      <c r="A644" s="1" t="s">
        <v>580</v>
      </c>
      <c r="B644" s="16" t="str">
        <f>INDEX(emprunts!C:C,MATCH($A644,emprunts!A:A,0))</f>
        <v>Dexia CL</v>
      </c>
      <c r="C644" s="18">
        <f>INDEX(emprunts!M:M,MATCH($A644,emprunts!$A:$A,0))</f>
        <v>40664</v>
      </c>
      <c r="D644" s="18">
        <f>IF(INDEX(emprunts!O:O,MATCH($A644,emprunts!$A:$A,0))="",INDEX(emprunts!N:N,MATCH($A644,emprunts!$A:$A,0)),MIN(INDEX(emprunts!N:N,MATCH($A644,emprunts!$A:$A,0)),INDEX(emprunts!O:O,MATCH($A644,emprunts!$A:$A,0))))</f>
        <v>41030</v>
      </c>
      <c r="E644" s="52">
        <f>INDEX(emprunts!I:I,MATCH($A644,emprunts!$A:$A,0))</f>
        <v>12.42</v>
      </c>
      <c r="F644" s="18" t="str">
        <f>INDEX(emprunts!P:P,MATCH($A644,emprunts!$A:$A,0))</f>
        <v>Change</v>
      </c>
      <c r="G644" s="126" t="str">
        <f>IF(LEFT(A644,3)="vx_","vx",INDEX(Categorie,MATCH($A644,emprunts!$A$2:$A$149,0)))</f>
        <v>Struct</v>
      </c>
      <c r="H644">
        <v>2011</v>
      </c>
      <c r="I644">
        <f t="shared" ref="I644" si="118">1*(C644&lt;DATE(H644,12,31))</f>
        <v>1</v>
      </c>
      <c r="N644" s="14">
        <v>6725870.4800000004</v>
      </c>
      <c r="O644" s="14">
        <v>6725870.4800000004</v>
      </c>
      <c r="P644" s="4">
        <v>0.13702600000000001</v>
      </c>
      <c r="Q644" s="14">
        <v>0</v>
      </c>
      <c r="R644" s="14">
        <v>0</v>
      </c>
      <c r="S644" s="14"/>
      <c r="T644" s="14">
        <v>143652.46</v>
      </c>
      <c r="U644" s="14">
        <f t="shared" si="117"/>
        <v>0</v>
      </c>
      <c r="V644" s="14">
        <f t="shared" si="114"/>
        <v>0</v>
      </c>
      <c r="X644" s="85">
        <f t="shared" si="108"/>
        <v>0</v>
      </c>
      <c r="Y644" s="21">
        <f t="shared" si="112"/>
        <v>3.1949760413738454E-2</v>
      </c>
      <c r="AA644" s="55">
        <f t="shared" si="115"/>
        <v>143652.46</v>
      </c>
      <c r="AB644" s="55" t="str">
        <f t="shared" si="116"/>
        <v/>
      </c>
      <c r="AC644" s="55">
        <f t="shared" ref="AC644" si="119">MAX(0,(C644-DATE(H644,1,1))/365)*0+MAX(0,MIN(1,(MIN(DATE(H644,12,31),D644)-MAX(DATE(H644,1,1),C644))/365))*(O644+X644+R644/2)</f>
        <v>4496198.348273973</v>
      </c>
    </row>
    <row r="645" spans="1:29">
      <c r="A645" t="s">
        <v>317</v>
      </c>
      <c r="B645" s="16" t="str">
        <f>INDEX(emprunts!C:C,MATCH($A645,emprunts!A:A,0))</f>
        <v>Dexia CL</v>
      </c>
      <c r="C645" s="18">
        <f>INDEX(emprunts!M:M,MATCH($A645,emprunts!$A:$A,0))</f>
        <v>40634</v>
      </c>
      <c r="D645" s="18">
        <f>IF(INDEX(emprunts!O:O,MATCH($A645,emprunts!$A:$A,0))="",INDEX(emprunts!N:N,MATCH($A645,emprunts!$A:$A,0)),MIN(INDEX(emprunts!N:N,MATCH($A645,emprunts!$A:$A,0)),INDEX(emprunts!O:O,MATCH($A645,emprunts!$A:$A,0))))</f>
        <v>41760</v>
      </c>
      <c r="E645" s="52">
        <f>INDEX(emprunts!I:I,MATCH($A645,emprunts!$A:$A,0))</f>
        <v>25</v>
      </c>
      <c r="F645" s="18" t="str">
        <f>INDEX(emprunts!P:P,MATCH($A645,emprunts!$A:$A,0))</f>
        <v>Barrière avec multiplicateur</v>
      </c>
      <c r="G645" s="126" t="str">
        <f>IF(LEFT(A645,3)="vx_","vx",INDEX(Categorie,MATCH($A645,emprunts!$A$2:$A$149,0)))</f>
        <v>Struct</v>
      </c>
      <c r="H645">
        <v>2011</v>
      </c>
      <c r="I645">
        <f t="shared" si="106"/>
        <v>1</v>
      </c>
      <c r="N645" s="58">
        <v>12864339</v>
      </c>
      <c r="O645" s="58">
        <v>12864339</v>
      </c>
      <c r="P645" s="4">
        <v>1.8303E-2</v>
      </c>
      <c r="Q645" s="14">
        <v>0</v>
      </c>
      <c r="R645" s="14">
        <v>0</v>
      </c>
      <c r="S645" s="14"/>
      <c r="T645" s="14">
        <v>212422.41</v>
      </c>
      <c r="U645" s="14">
        <f t="shared" si="117"/>
        <v>0</v>
      </c>
      <c r="V645" s="14">
        <f t="shared" si="114"/>
        <v>0</v>
      </c>
      <c r="X645" s="85">
        <f t="shared" si="108"/>
        <v>0</v>
      </c>
      <c r="Y645" s="21">
        <f>IF(AND(AA645&gt;0,YEAR(C645)&lt;=H645),AA645/AC645,"")</f>
        <v>2.1996579736948966E-2</v>
      </c>
      <c r="AA645" s="55">
        <f t="shared" si="115"/>
        <v>212422.41</v>
      </c>
      <c r="AB645" s="55" t="str">
        <f t="shared" si="116"/>
        <v/>
      </c>
      <c r="AC645" s="55">
        <f t="shared" si="110"/>
        <v>9657065.4410958905</v>
      </c>
    </row>
    <row r="646" spans="1:29">
      <c r="A646" s="1" t="s">
        <v>489</v>
      </c>
      <c r="B646" s="16" t="str">
        <f>INDEX(emprunts!C:C,MATCH($A646,emprunts!A:A,0))</f>
        <v>Dexia CL</v>
      </c>
      <c r="C646" s="18">
        <f>INDEX(emprunts!M:M,MATCH($A646,emprunts!$A:$A,0))</f>
        <v>40725</v>
      </c>
      <c r="D646" s="18">
        <f>IF(INDEX(emprunts!O:O,MATCH($A646,emprunts!$A:$A,0))="",INDEX(emprunts!N:N,MATCH($A646,emprunts!$A:$A,0)),MIN(INDEX(emprunts!N:N,MATCH($A646,emprunts!$A:$A,0)),INDEX(emprunts!O:O,MATCH($A646,emprunts!$A:$A,0))))</f>
        <v>49796</v>
      </c>
      <c r="E646" s="52">
        <f>INDEX(emprunts!I:I,MATCH($A646,emprunts!$A:$A,0))</f>
        <v>25</v>
      </c>
      <c r="F646" s="18" t="str">
        <f>INDEX(emprunts!P:P,MATCH($A646,emprunts!$A:$A,0))</f>
        <v>Barrière avec multiplicateur</v>
      </c>
      <c r="G646" s="126" t="str">
        <f>IF(LEFT(A646,3)="vx_","vx",INDEX(Categorie,MATCH($A646,emprunts!$A$2:$A$149,0)))</f>
        <v>Struct</v>
      </c>
      <c r="H646">
        <v>2011</v>
      </c>
      <c r="I646">
        <f t="shared" si="106"/>
        <v>1</v>
      </c>
      <c r="N646" s="58">
        <v>14548323</v>
      </c>
      <c r="O646" s="58">
        <v>14548323</v>
      </c>
      <c r="P646" s="4">
        <v>3.8553999999999998E-2</v>
      </c>
      <c r="Q646" s="14">
        <v>0</v>
      </c>
      <c r="R646" s="14">
        <v>0</v>
      </c>
      <c r="S646" s="14"/>
      <c r="T646" s="14">
        <v>281025.09999999998</v>
      </c>
      <c r="U646" s="14">
        <f t="shared" si="117"/>
        <v>0</v>
      </c>
      <c r="V646" s="14">
        <f t="shared" si="114"/>
        <v>0</v>
      </c>
      <c r="X646" s="85">
        <f t="shared" si="108"/>
        <v>0</v>
      </c>
      <c r="Y646" s="21">
        <f t="shared" ref="Y646:Y678" si="120">IF(AND(AA646&gt;0,YEAR(C646)&lt;=H646),AA646/AC646,"")</f>
        <v>3.8527776962048954E-2</v>
      </c>
      <c r="AA646" s="55">
        <f t="shared" si="115"/>
        <v>281025.09999999998</v>
      </c>
      <c r="AB646" s="55" t="str">
        <f t="shared" si="116"/>
        <v/>
      </c>
      <c r="AC646" s="55">
        <f t="shared" si="110"/>
        <v>7294090.7095890418</v>
      </c>
    </row>
    <row r="647" spans="1:29">
      <c r="A647" s="1" t="s">
        <v>487</v>
      </c>
      <c r="B647" s="16" t="str">
        <f>INDEX(emprunts!C:C,MATCH($A647,emprunts!A:A,0))</f>
        <v>Dexia CL</v>
      </c>
      <c r="C647" s="18">
        <f>INDEX(emprunts!M:M,MATCH($A647,emprunts!$A:$A,0))</f>
        <v>40737</v>
      </c>
      <c r="D647" s="18">
        <f>IF(INDEX(emprunts!O:O,MATCH($A647,emprunts!$A:$A,0))="",INDEX(emprunts!N:N,MATCH($A647,emprunts!$A:$A,0)),MIN(INDEX(emprunts!N:N,MATCH($A647,emprunts!$A:$A,0)),INDEX(emprunts!O:O,MATCH($A647,emprunts!$A:$A,0))))</f>
        <v>42644</v>
      </c>
      <c r="E647" s="52">
        <f>INDEX(emprunts!I:I,MATCH($A647,emprunts!$A:$A,0))</f>
        <v>15</v>
      </c>
      <c r="F647" s="18" t="str">
        <f>INDEX(emprunts!P:P,MATCH($A647,emprunts!$A:$A,0))</f>
        <v>Change</v>
      </c>
      <c r="G647" s="126" t="str">
        <f>IF(LEFT(A647,3)="vx_","vx",INDEX(Categorie,MATCH($A647,emprunts!$A$2:$A$149,0)))</f>
        <v>Struct</v>
      </c>
      <c r="H647">
        <v>2011</v>
      </c>
      <c r="I647">
        <f t="shared" si="106"/>
        <v>1</v>
      </c>
      <c r="N647" s="58">
        <v>16517587.16</v>
      </c>
      <c r="O647" s="58">
        <v>14062836</v>
      </c>
      <c r="P647" s="4">
        <v>4.3119999999999999E-2</v>
      </c>
      <c r="Q647" s="14">
        <v>632716.35</v>
      </c>
      <c r="R647" s="14">
        <v>620670.44999999995</v>
      </c>
      <c r="S647" s="14"/>
      <c r="T647" s="14">
        <v>303815.84000000003</v>
      </c>
      <c r="U647" s="14">
        <f t="shared" si="117"/>
        <v>1253386.7999999998</v>
      </c>
      <c r="V647" s="14">
        <f t="shared" si="114"/>
        <v>0</v>
      </c>
      <c r="X647" s="85">
        <f t="shared" si="108"/>
        <v>0</v>
      </c>
      <c r="Y647" s="21">
        <f t="shared" si="120"/>
        <v>0.13908069880056803</v>
      </c>
      <c r="AA647" s="55">
        <f t="shared" si="115"/>
        <v>936532.19</v>
      </c>
      <c r="AB647" s="55" t="str">
        <f t="shared" si="116"/>
        <v/>
      </c>
      <c r="AC647" s="55">
        <f t="shared" si="110"/>
        <v>6733732.2725342466</v>
      </c>
    </row>
    <row r="648" spans="1:29">
      <c r="A648" t="s">
        <v>324</v>
      </c>
      <c r="B648" s="16" t="str">
        <f>INDEX(emprunts!C:C,MATCH($A648,emprunts!A:A,0))</f>
        <v>Caisse d'Épargne</v>
      </c>
      <c r="C648" s="18">
        <f>INDEX(emprunts!M:M,MATCH($A648,emprunts!$A:$A,0))</f>
        <v>40732</v>
      </c>
      <c r="D648" s="18">
        <f>IF(INDEX(emprunts!O:O,MATCH($A648,emprunts!$A:$A,0))="",INDEX(emprunts!N:N,MATCH($A648,emprunts!$A:$A,0)),MIN(INDEX(emprunts!N:N,MATCH($A648,emprunts!$A:$A,0)),INDEX(emprunts!O:O,MATCH($A648,emprunts!$A:$A,0))))</f>
        <v>46536</v>
      </c>
      <c r="E648" s="52">
        <f>INDEX(emprunts!I:I,MATCH($A648,emprunts!$A:$A,0))</f>
        <v>15</v>
      </c>
      <c r="F648" s="18" t="str">
        <f>INDEX(emprunts!P:P,MATCH($A648,emprunts!$A:$A,0))</f>
        <v>Variable</v>
      </c>
      <c r="G648" s="126" t="str">
        <f>IF(LEFT(A648,3)="vx_","vx",INDEX(Categorie,MATCH($A648,emprunts!$A$2:$A$149,0)))</f>
        <v>Non_st</v>
      </c>
      <c r="H648">
        <v>2011</v>
      </c>
      <c r="I648">
        <f t="shared" si="106"/>
        <v>1</v>
      </c>
      <c r="N648"/>
      <c r="O648" s="58">
        <v>1200000</v>
      </c>
      <c r="Q648" s="14">
        <v>0</v>
      </c>
      <c r="R648" s="14">
        <v>0</v>
      </c>
      <c r="S648" s="14"/>
      <c r="T648" s="14">
        <v>0</v>
      </c>
      <c r="U648" s="14">
        <f t="shared" si="117"/>
        <v>0</v>
      </c>
      <c r="V648" s="14">
        <f t="shared" si="114"/>
        <v>0</v>
      </c>
      <c r="X648" s="85">
        <f t="shared" si="108"/>
        <v>0</v>
      </c>
      <c r="Y648" s="21" t="str">
        <f t="shared" si="120"/>
        <v/>
      </c>
      <c r="Z648" t="s">
        <v>578</v>
      </c>
      <c r="AA648" s="55">
        <f t="shared" si="115"/>
        <v>0</v>
      </c>
      <c r="AB648" s="55" t="str">
        <f t="shared" si="116"/>
        <v/>
      </c>
      <c r="AC648" s="55">
        <f t="shared" si="110"/>
        <v>578630.1369863014</v>
      </c>
    </row>
    <row r="649" spans="1:29">
      <c r="A649" t="s">
        <v>328</v>
      </c>
      <c r="B649" s="16" t="str">
        <f>INDEX(emprunts!C:C,MATCH($A649,emprunts!A:A,0))</f>
        <v>Caisse d'Épargne</v>
      </c>
      <c r="C649" s="18">
        <f>INDEX(emprunts!M:M,MATCH($A649,emprunts!$A:$A,0))</f>
        <v>40732</v>
      </c>
      <c r="D649" s="18">
        <f>IF(INDEX(emprunts!O:O,MATCH($A649,emprunts!$A:$A,0))="",INDEX(emprunts!N:N,MATCH($A649,emprunts!$A:$A,0)),MIN(INDEX(emprunts!N:N,MATCH($A649,emprunts!$A:$A,0)),INDEX(emprunts!O:O,MATCH($A649,emprunts!$A:$A,0))))</f>
        <v>46536</v>
      </c>
      <c r="E649" s="52">
        <f>INDEX(emprunts!I:I,MATCH($A649,emprunts!$A:$A,0))</f>
        <v>15</v>
      </c>
      <c r="F649" s="18" t="str">
        <f>INDEX(emprunts!P:P,MATCH($A649,emprunts!$A:$A,0))</f>
        <v>Variable</v>
      </c>
      <c r="G649" s="126" t="str">
        <f>IF(LEFT(A649,3)="vx_","vx",INDEX(Categorie,MATCH($A649,emprunts!$A$2:$A$149,0)))</f>
        <v>Non_st</v>
      </c>
      <c r="H649">
        <v>2011</v>
      </c>
      <c r="I649">
        <f t="shared" si="106"/>
        <v>1</v>
      </c>
      <c r="N649"/>
      <c r="O649" s="58">
        <v>4000000</v>
      </c>
      <c r="Q649" s="14">
        <v>0</v>
      </c>
      <c r="R649" s="14">
        <v>0</v>
      </c>
      <c r="S649" s="14"/>
      <c r="T649" s="14">
        <v>0</v>
      </c>
      <c r="U649" s="14">
        <f t="shared" si="117"/>
        <v>0</v>
      </c>
      <c r="V649" s="14">
        <f t="shared" si="114"/>
        <v>0</v>
      </c>
      <c r="X649" s="85">
        <f t="shared" si="108"/>
        <v>0</v>
      </c>
      <c r="Y649" s="21" t="str">
        <f t="shared" si="120"/>
        <v/>
      </c>
      <c r="Z649" t="s">
        <v>578</v>
      </c>
      <c r="AA649" s="55">
        <f t="shared" si="115"/>
        <v>0</v>
      </c>
      <c r="AB649" s="55" t="str">
        <f t="shared" si="116"/>
        <v/>
      </c>
      <c r="AC649" s="55">
        <f t="shared" si="110"/>
        <v>1928767.1232876712</v>
      </c>
    </row>
    <row r="650" spans="1:29">
      <c r="A650" t="s">
        <v>331</v>
      </c>
      <c r="B650" s="16" t="str">
        <f>INDEX(emprunts!C:C,MATCH($A650,emprunts!A:A,0))</f>
        <v>Dexia CL</v>
      </c>
      <c r="C650" s="18">
        <f>INDEX(emprunts!M:M,MATCH($A650,emprunts!$A:$A,0))</f>
        <v>40848</v>
      </c>
      <c r="D650" s="18">
        <f>IF(INDEX(emprunts!O:O,MATCH($A650,emprunts!$A:$A,0))="",INDEX(emprunts!N:N,MATCH($A650,emprunts!$A:$A,0)),MIN(INDEX(emprunts!N:N,MATCH($A650,emprunts!$A:$A,0)),INDEX(emprunts!O:O,MATCH($A650,emprunts!$A:$A,0))))</f>
        <v>43101</v>
      </c>
      <c r="E650" s="52">
        <f>INDEX(emprunts!I:I,MATCH($A650,emprunts!$A:$A,0))</f>
        <v>21.17</v>
      </c>
      <c r="F650" s="18" t="str">
        <f>INDEX(emprunts!P:P,MATCH($A650,emprunts!$A:$A,0))</f>
        <v>Barrière avec multiplicateur</v>
      </c>
      <c r="G650" s="126" t="str">
        <f>IF(LEFT(A650,3)="vx_","vx",INDEX(Categorie,MATCH($A650,emprunts!$A$2:$A$149,0)))</f>
        <v>Struct</v>
      </c>
      <c r="H650">
        <v>2011</v>
      </c>
      <c r="I650">
        <f t="shared" si="106"/>
        <v>1</v>
      </c>
      <c r="N650"/>
      <c r="O650" s="58">
        <v>8387574</v>
      </c>
      <c r="P650" s="4">
        <v>3.551E-2</v>
      </c>
      <c r="Q650" s="14">
        <v>0</v>
      </c>
      <c r="R650" s="14">
        <v>0</v>
      </c>
      <c r="S650" s="14"/>
      <c r="T650" s="14">
        <v>170882.03</v>
      </c>
      <c r="U650" s="14">
        <f t="shared" si="117"/>
        <v>0</v>
      </c>
      <c r="V650" s="14">
        <f t="shared" si="114"/>
        <v>0</v>
      </c>
      <c r="X650" s="85">
        <f t="shared" si="108"/>
        <v>0</v>
      </c>
      <c r="Y650" s="21">
        <f t="shared" si="120"/>
        <v>0.12393718960532171</v>
      </c>
      <c r="AA650" s="55">
        <f t="shared" si="115"/>
        <v>170882.03</v>
      </c>
      <c r="AB650" s="55" t="str">
        <f t="shared" si="116"/>
        <v/>
      </c>
      <c r="AC650" s="55">
        <f t="shared" si="110"/>
        <v>1378779.2876712328</v>
      </c>
    </row>
    <row r="651" spans="1:29">
      <c r="A651" t="s">
        <v>333</v>
      </c>
      <c r="B651" s="16" t="str">
        <f>INDEX(emprunts!C:C,MATCH($A651,emprunts!A:A,0))</f>
        <v>Dexia CL</v>
      </c>
      <c r="C651" s="18">
        <f>INDEX(emprunts!M:M,MATCH($A651,emprunts!$A:$A,0))</f>
        <v>40848</v>
      </c>
      <c r="D651" s="18">
        <f>IF(INDEX(emprunts!O:O,MATCH($A651,emprunts!$A:$A,0))="",INDEX(emprunts!N:N,MATCH($A651,emprunts!$A:$A,0)),MIN(INDEX(emprunts!N:N,MATCH($A651,emprunts!$A:$A,0)),INDEX(emprunts!O:O,MATCH($A651,emprunts!$A:$A,0))))</f>
        <v>41654</v>
      </c>
      <c r="E651" s="52">
        <f>INDEX(emprunts!I:I,MATCH($A651,emprunts!$A:$A,0))</f>
        <v>22</v>
      </c>
      <c r="F651" s="18" t="str">
        <f>INDEX(emprunts!P:P,MATCH($A651,emprunts!$A:$A,0))</f>
        <v>Change</v>
      </c>
      <c r="G651" s="126" t="str">
        <f>IF(LEFT(A651,3)="vx_","vx",INDEX(Categorie,MATCH($A651,emprunts!$A$2:$A$149,0)))</f>
        <v>Struct</v>
      </c>
      <c r="H651">
        <v>2011</v>
      </c>
      <c r="I651">
        <f t="shared" si="106"/>
        <v>1</v>
      </c>
      <c r="N651"/>
      <c r="O651" s="58">
        <v>8585272</v>
      </c>
      <c r="P651" s="4">
        <v>4.0481999999999997E-2</v>
      </c>
      <c r="Q651" s="14">
        <v>0</v>
      </c>
      <c r="R651" s="14">
        <v>0</v>
      </c>
      <c r="S651" s="14"/>
      <c r="T651" s="14">
        <v>58156.12</v>
      </c>
      <c r="U651" s="14">
        <f t="shared" si="117"/>
        <v>0</v>
      </c>
      <c r="V651" s="14">
        <f t="shared" si="114"/>
        <v>0</v>
      </c>
      <c r="X651" s="85">
        <f t="shared" si="108"/>
        <v>0</v>
      </c>
      <c r="Y651" s="21">
        <f t="shared" si="120"/>
        <v>4.1208136834026146E-2</v>
      </c>
      <c r="AA651" s="55">
        <f t="shared" si="115"/>
        <v>58156.12</v>
      </c>
      <c r="AB651" s="55" t="str">
        <f t="shared" si="116"/>
        <v/>
      </c>
      <c r="AC651" s="55">
        <f t="shared" si="110"/>
        <v>1411277.5890410959</v>
      </c>
    </row>
    <row r="652" spans="1:29">
      <c r="A652" t="s">
        <v>336</v>
      </c>
      <c r="B652" s="16" t="str">
        <f>INDEX(emprunts!C:C,MATCH($A652,emprunts!A:A,0))</f>
        <v>Dexia CL</v>
      </c>
      <c r="C652" s="18">
        <f>INDEX(emprunts!M:M,MATCH($A652,emprunts!$A:$A,0))</f>
        <v>40878</v>
      </c>
      <c r="D652" s="18">
        <f>IF(INDEX(emprunts!O:O,MATCH($A652,emprunts!$A:$A,0))="",INDEX(emprunts!N:N,MATCH($A652,emprunts!$A:$A,0)),MIN(INDEX(emprunts!N:N,MATCH($A652,emprunts!$A:$A,0)),INDEX(emprunts!O:O,MATCH($A652,emprunts!$A:$A,0))))</f>
        <v>41244</v>
      </c>
      <c r="E652" s="52">
        <f>INDEX(emprunts!I:I,MATCH($A652,emprunts!$A:$A,0))</f>
        <v>18</v>
      </c>
      <c r="F652" s="18" t="str">
        <f>INDEX(emprunts!P:P,MATCH($A652,emprunts!$A:$A,0))</f>
        <v>Change</v>
      </c>
      <c r="G652" s="126" t="str">
        <f>IF(LEFT(A652,3)="vx_","vx",INDEX(Categorie,MATCH($A652,emprunts!$A$2:$A$149,0)))</f>
        <v>Struct</v>
      </c>
      <c r="H652">
        <v>2011</v>
      </c>
      <c r="I652">
        <f t="shared" si="106"/>
        <v>1</v>
      </c>
      <c r="N652" s="58">
        <v>9953600</v>
      </c>
      <c r="O652" s="58">
        <v>9953600</v>
      </c>
      <c r="P652" s="4">
        <v>0.13186200000000001</v>
      </c>
      <c r="Q652" s="14">
        <v>0</v>
      </c>
      <c r="R652" s="14">
        <v>0</v>
      </c>
      <c r="S652" s="14"/>
      <c r="T652" s="14">
        <v>28473.82</v>
      </c>
      <c r="U652" s="14">
        <f t="shared" si="117"/>
        <v>0</v>
      </c>
      <c r="V652" s="14">
        <f t="shared" si="114"/>
        <v>0</v>
      </c>
      <c r="X652" s="85">
        <f t="shared" si="108"/>
        <v>0</v>
      </c>
      <c r="Y652" s="21">
        <f t="shared" si="120"/>
        <v>3.480464120184322E-2</v>
      </c>
      <c r="AA652" s="55">
        <f t="shared" si="115"/>
        <v>28473.82</v>
      </c>
      <c r="AB652" s="55" t="str">
        <f t="shared" si="116"/>
        <v/>
      </c>
      <c r="AC652" s="55">
        <f t="shared" si="110"/>
        <v>818104.10958904109</v>
      </c>
    </row>
    <row r="653" spans="1:29">
      <c r="A653" t="s">
        <v>338</v>
      </c>
      <c r="B653" s="16" t="str">
        <f>INDEX(emprunts!C:C,MATCH($A653,emprunts!A:A,0))</f>
        <v>Dexia CL</v>
      </c>
      <c r="C653" s="18">
        <f>INDEX(emprunts!M:M,MATCH($A653,emprunts!$A:$A,0))</f>
        <v>40878</v>
      </c>
      <c r="D653" s="18">
        <f>IF(INDEX(emprunts!O:O,MATCH($A653,emprunts!$A:$A,0))="",INDEX(emprunts!N:N,MATCH($A653,emprunts!$A:$A,0)),MIN(INDEX(emprunts!N:N,MATCH($A653,emprunts!$A:$A,0)),INDEX(emprunts!O:O,MATCH($A653,emprunts!$A:$A,0))))</f>
        <v>49644</v>
      </c>
      <c r="E653" s="52">
        <f>INDEX(emprunts!I:I,MATCH($A653,emprunts!$A:$A,0))</f>
        <v>24</v>
      </c>
      <c r="F653" s="18" t="str">
        <f>INDEX(emprunts!P:P,MATCH($A653,emprunts!$A:$A,0))</f>
        <v>Variable</v>
      </c>
      <c r="G653" s="126" t="str">
        <f>IF(LEFT(A653,3)="vx_","vx",INDEX(Categorie,MATCH($A653,emprunts!$A$2:$A$149,0)))</f>
        <v>Non_st</v>
      </c>
      <c r="H653">
        <v>2011</v>
      </c>
      <c r="I653">
        <f t="shared" si="106"/>
        <v>1</v>
      </c>
      <c r="N653" s="58">
        <v>4825730</v>
      </c>
      <c r="O653" s="58">
        <v>4825730</v>
      </c>
      <c r="P653" s="4">
        <v>1.9043999999999998E-2</v>
      </c>
      <c r="Q653" s="14">
        <v>40030.269999999997</v>
      </c>
      <c r="R653" s="14">
        <v>0</v>
      </c>
      <c r="S653" s="14"/>
      <c r="T653" s="14">
        <v>6496.35</v>
      </c>
      <c r="U653" s="14">
        <f t="shared" si="117"/>
        <v>40030.269999999997</v>
      </c>
      <c r="V653" s="14">
        <f t="shared" si="114"/>
        <v>0</v>
      </c>
      <c r="X653" s="85">
        <f t="shared" si="108"/>
        <v>0</v>
      </c>
      <c r="Y653" s="21">
        <f t="shared" si="120"/>
        <v>0.11730326327139452</v>
      </c>
      <c r="AA653" s="55">
        <f t="shared" si="115"/>
        <v>46526.619999999995</v>
      </c>
      <c r="AB653" s="55" t="str">
        <f t="shared" si="116"/>
        <v/>
      </c>
      <c r="AC653" s="55">
        <f t="shared" si="110"/>
        <v>396635.34246575338</v>
      </c>
    </row>
    <row r="654" spans="1:29">
      <c r="A654" t="s">
        <v>339</v>
      </c>
      <c r="B654" s="16" t="str">
        <f>INDEX(emprunts!C:C,MATCH($A654,emprunts!A:A,0))</f>
        <v>Caisse d'Épargne</v>
      </c>
      <c r="C654" s="18">
        <f>INDEX(emprunts!M:M,MATCH($A654,emprunts!$A:$A,0))</f>
        <v>40913</v>
      </c>
      <c r="D654" s="18">
        <f>IF(INDEX(emprunts!O:O,MATCH($A654,emprunts!$A:$A,0))="",INDEX(emprunts!N:N,MATCH($A654,emprunts!$A:$A,0)),MIN(INDEX(emprunts!N:N,MATCH($A654,emprunts!$A:$A,0)),INDEX(emprunts!O:O,MATCH($A654,emprunts!$A:$A,0))))</f>
        <v>48218</v>
      </c>
      <c r="E654" s="52">
        <f>INDEX(emprunts!I:I,MATCH($A654,emprunts!$A:$A,0))</f>
        <v>20</v>
      </c>
      <c r="F654" s="18" t="str">
        <f>INDEX(emprunts!P:P,MATCH($A654,emprunts!$A:$A,0))</f>
        <v>Barrière</v>
      </c>
      <c r="G654" s="126" t="str">
        <f>IF(LEFT(A654,3)="vx_","vx",INDEX(Categorie,MATCH($A654,emprunts!$A$2:$A$149,0)))</f>
        <v>Struct</v>
      </c>
      <c r="H654">
        <v>2011</v>
      </c>
      <c r="I654">
        <f t="shared" si="106"/>
        <v>0</v>
      </c>
      <c r="N654"/>
      <c r="O654" s="58"/>
      <c r="Q654" s="14"/>
      <c r="R654" s="14"/>
      <c r="S654" s="14"/>
      <c r="T654" s="14"/>
      <c r="U654" s="14"/>
      <c r="V654" s="14" t="str">
        <f t="shared" si="114"/>
        <v/>
      </c>
      <c r="X654" s="85">
        <f t="shared" si="108"/>
        <v>0</v>
      </c>
      <c r="Y654" s="21" t="str">
        <f t="shared" si="120"/>
        <v/>
      </c>
      <c r="AA654" s="55">
        <f t="shared" si="115"/>
        <v>0</v>
      </c>
      <c r="AB654" s="55">
        <f t="shared" si="116"/>
        <v>0</v>
      </c>
      <c r="AC654" s="55">
        <f t="shared" si="110"/>
        <v>0</v>
      </c>
    </row>
    <row r="655" spans="1:29">
      <c r="A655" t="s">
        <v>340</v>
      </c>
      <c r="B655" s="16" t="str">
        <f>INDEX(emprunts!C:C,MATCH($A655,emprunts!A:A,0))</f>
        <v>Caisse d'Épargne</v>
      </c>
      <c r="C655" s="18">
        <f>INDEX(emprunts!M:M,MATCH($A655,emprunts!$A:$A,0))</f>
        <v>40964</v>
      </c>
      <c r="D655" s="18">
        <f>IF(INDEX(emprunts!O:O,MATCH($A655,emprunts!$A:$A,0))="",INDEX(emprunts!N:N,MATCH($A655,emprunts!$A:$A,0)),MIN(INDEX(emprunts!N:N,MATCH($A655,emprunts!$A:$A,0)),INDEX(emprunts!O:O,MATCH($A655,emprunts!$A:$A,0))))</f>
        <v>41330</v>
      </c>
      <c r="E655" s="52">
        <f>INDEX(emprunts!I:I,MATCH($A655,emprunts!$A:$A,0))</f>
        <v>14</v>
      </c>
      <c r="F655" s="18" t="str">
        <f>INDEX(emprunts!P:P,MATCH($A655,emprunts!$A:$A,0))</f>
        <v>Courbes</v>
      </c>
      <c r="G655" s="126" t="str">
        <f>IF(LEFT(A655,3)="vx_","vx",INDEX(Categorie,MATCH($A655,emprunts!$A$2:$A$149,0)))</f>
        <v>Struct</v>
      </c>
      <c r="H655">
        <v>2011</v>
      </c>
      <c r="I655">
        <f t="shared" si="106"/>
        <v>0</v>
      </c>
      <c r="N655"/>
      <c r="O655" s="58"/>
      <c r="Q655" s="14"/>
      <c r="R655" s="14"/>
      <c r="S655" s="14"/>
      <c r="T655" s="14"/>
      <c r="U655" s="14"/>
      <c r="V655" s="14" t="str">
        <f t="shared" si="114"/>
        <v/>
      </c>
      <c r="X655" s="85">
        <f t="shared" si="108"/>
        <v>0</v>
      </c>
      <c r="Y655" s="21" t="str">
        <f t="shared" si="120"/>
        <v/>
      </c>
      <c r="AA655" s="55">
        <f t="shared" si="115"/>
        <v>0</v>
      </c>
      <c r="AB655" s="55">
        <f t="shared" si="116"/>
        <v>0</v>
      </c>
      <c r="AC655" s="55">
        <f t="shared" si="110"/>
        <v>0</v>
      </c>
    </row>
    <row r="656" spans="1:29">
      <c r="A656" t="s">
        <v>342</v>
      </c>
      <c r="B656" s="16" t="str">
        <f>INDEX(emprunts!C:C,MATCH($A656,emprunts!A:A,0))</f>
        <v>CDC</v>
      </c>
      <c r="C656" s="18">
        <f>INDEX(emprunts!M:M,MATCH($A656,emprunts!$A:$A,0))</f>
        <v>40991</v>
      </c>
      <c r="D656" s="18">
        <f>IF(INDEX(emprunts!O:O,MATCH($A656,emprunts!$A:$A,0))="",INDEX(emprunts!N:N,MATCH($A656,emprunts!$A:$A,0)),MIN(INDEX(emprunts!N:N,MATCH($A656,emprunts!$A:$A,0)),INDEX(emprunts!O:O,MATCH($A656,emprunts!$A:$A,0))))</f>
        <v>46661</v>
      </c>
      <c r="E656" s="52">
        <f>INDEX(emprunts!I:I,MATCH($A656,emprunts!$A:$A,0))</f>
        <v>15.25</v>
      </c>
      <c r="F656" s="18" t="str">
        <f>INDEX(emprunts!P:P,MATCH($A656,emprunts!$A:$A,0))</f>
        <v>Variable</v>
      </c>
      <c r="G656" s="126" t="str">
        <f>IF(LEFT(A656,3)="vx_","vx",INDEX(Categorie,MATCH($A656,emprunts!$A$2:$A$149,0)))</f>
        <v>Non_st</v>
      </c>
      <c r="H656">
        <v>2011</v>
      </c>
      <c r="I656">
        <f t="shared" si="106"/>
        <v>0</v>
      </c>
      <c r="N656"/>
      <c r="O656" s="58"/>
      <c r="Q656" s="14"/>
      <c r="R656" s="14"/>
      <c r="S656" s="14"/>
      <c r="T656" s="14"/>
      <c r="U656" s="14"/>
      <c r="V656" s="14" t="str">
        <f t="shared" si="114"/>
        <v/>
      </c>
      <c r="X656" s="85">
        <f t="shared" si="108"/>
        <v>0</v>
      </c>
      <c r="Y656" s="21" t="str">
        <f t="shared" si="120"/>
        <v/>
      </c>
      <c r="AA656" s="55">
        <f t="shared" si="115"/>
        <v>0</v>
      </c>
      <c r="AB656" s="55">
        <f t="shared" si="116"/>
        <v>0</v>
      </c>
      <c r="AC656" s="55">
        <f t="shared" si="110"/>
        <v>0</v>
      </c>
    </row>
    <row r="657" spans="1:29">
      <c r="A657" s="1" t="s">
        <v>531</v>
      </c>
      <c r="B657" s="16" t="str">
        <f>INDEX(emprunts!C:C,MATCH($A657,emprunts!A:A,0))</f>
        <v>Dexia CL</v>
      </c>
      <c r="C657" s="18">
        <f>INDEX(emprunts!M:M,MATCH($A657,emprunts!$A:$A,0))</f>
        <v>41030</v>
      </c>
      <c r="D657" s="18">
        <f>IF(INDEX(emprunts!O:O,MATCH($A657,emprunts!$A:$A,0))="",INDEX(emprunts!N:N,MATCH($A657,emprunts!$A:$A,0)),MIN(INDEX(emprunts!N:N,MATCH($A657,emprunts!$A:$A,0)),INDEX(emprunts!O:O,MATCH($A657,emprunts!$A:$A,0))))</f>
        <v>48122</v>
      </c>
      <c r="E657" s="52">
        <f>INDEX(emprunts!I:I,MATCH($A657,emprunts!$A:$A,0))</f>
        <v>19.420000000000002</v>
      </c>
      <c r="F657" s="18" t="str">
        <f>INDEX(emprunts!P:P,MATCH($A657,emprunts!$A:$A,0))</f>
        <v>Barrière avec multiplicateur</v>
      </c>
      <c r="G657" s="126" t="str">
        <f>IF(LEFT(A657,3)="vx_","vx",INDEX(Categorie,MATCH($A657,emprunts!$A$2:$A$149,0)))</f>
        <v>Struct</v>
      </c>
      <c r="H657">
        <v>2011</v>
      </c>
      <c r="I657">
        <f t="shared" si="106"/>
        <v>0</v>
      </c>
      <c r="N657"/>
      <c r="O657" s="58"/>
      <c r="Q657" s="14"/>
      <c r="R657" s="14"/>
      <c r="S657" s="14"/>
      <c r="T657" s="14"/>
      <c r="U657" s="14"/>
      <c r="V657" s="14" t="str">
        <f t="shared" si="114"/>
        <v/>
      </c>
      <c r="X657" s="85">
        <f t="shared" si="108"/>
        <v>0</v>
      </c>
      <c r="Y657" s="21" t="str">
        <f t="shared" si="120"/>
        <v/>
      </c>
      <c r="AA657" s="55">
        <f t="shared" si="115"/>
        <v>0</v>
      </c>
      <c r="AB657" s="55">
        <f t="shared" si="116"/>
        <v>0</v>
      </c>
      <c r="AC657" s="55">
        <f t="shared" si="110"/>
        <v>0</v>
      </c>
    </row>
    <row r="658" spans="1:29">
      <c r="A658" s="1" t="s">
        <v>490</v>
      </c>
      <c r="B658" s="16" t="str">
        <f>INDEX(emprunts!C:C,MATCH($A658,emprunts!A:A,0))</f>
        <v>Dexia CL</v>
      </c>
      <c r="C658" s="18">
        <f>INDEX(emprunts!M:M,MATCH($A658,emprunts!$A:$A,0))</f>
        <v>41030</v>
      </c>
      <c r="D658" s="18">
        <f>IF(INDEX(emprunts!O:O,MATCH($A658,emprunts!$A:$A,0))="",INDEX(emprunts!N:N,MATCH($A658,emprunts!$A:$A,0)),MIN(INDEX(emprunts!N:N,MATCH($A658,emprunts!$A:$A,0)),INDEX(emprunts!O:O,MATCH($A658,emprunts!$A:$A,0))))</f>
        <v>41760</v>
      </c>
      <c r="E658" s="52">
        <f>INDEX(emprunts!I:I,MATCH($A658,emprunts!$A:$A,0))</f>
        <v>17</v>
      </c>
      <c r="F658" s="18" t="str">
        <f>INDEX(emprunts!P:P,MATCH($A658,emprunts!$A:$A,0))</f>
        <v>Change</v>
      </c>
      <c r="G658" s="126" t="str">
        <f>IF(LEFT(A658,3)="vx_","vx",INDEX(Categorie,MATCH($A658,emprunts!$A$2:$A$149,0)))</f>
        <v>Struct</v>
      </c>
      <c r="H658">
        <v>2011</v>
      </c>
      <c r="I658">
        <f t="shared" si="106"/>
        <v>0</v>
      </c>
      <c r="N658"/>
      <c r="O658" s="58"/>
      <c r="Q658" s="14"/>
      <c r="R658" s="14"/>
      <c r="S658" s="14"/>
      <c r="T658" s="14"/>
      <c r="U658" s="14"/>
      <c r="V658" s="14" t="str">
        <f t="shared" si="114"/>
        <v/>
      </c>
      <c r="X658" s="85">
        <f t="shared" si="108"/>
        <v>0</v>
      </c>
      <c r="Y658" s="21" t="str">
        <f t="shared" si="120"/>
        <v/>
      </c>
      <c r="AA658" s="55">
        <f t="shared" si="115"/>
        <v>0</v>
      </c>
      <c r="AB658" s="55">
        <f t="shared" si="116"/>
        <v>0</v>
      </c>
      <c r="AC658" s="55">
        <f t="shared" si="110"/>
        <v>0</v>
      </c>
    </row>
    <row r="659" spans="1:29">
      <c r="A659" s="1" t="s">
        <v>497</v>
      </c>
      <c r="B659" s="16" t="str">
        <f>INDEX(emprunts!C:C,MATCH($A659,emprunts!A:A,0))</f>
        <v>Dexia CL</v>
      </c>
      <c r="C659" s="18">
        <f>INDEX(emprunts!M:M,MATCH($A659,emprunts!$A:$A,0))</f>
        <v>41030</v>
      </c>
      <c r="D659" s="18">
        <f>IF(INDEX(emprunts!O:O,MATCH($A659,emprunts!$A:$A,0))="",INDEX(emprunts!N:N,MATCH($A659,emprunts!$A:$A,0)),MIN(INDEX(emprunts!N:N,MATCH($A659,emprunts!$A:$A,0)),INDEX(emprunts!O:O,MATCH($A659,emprunts!$A:$A,0))))</f>
        <v>41426</v>
      </c>
      <c r="E659" s="52">
        <f>INDEX(emprunts!I:I,MATCH($A659,emprunts!$A:$A,0))</f>
        <v>12</v>
      </c>
      <c r="F659" s="18" t="str">
        <f>INDEX(emprunts!P:P,MATCH($A659,emprunts!$A:$A,0))</f>
        <v>Change</v>
      </c>
      <c r="G659" s="126" t="str">
        <f>IF(LEFT(A659,3)="vx_","vx",INDEX(Categorie,MATCH($A659,emprunts!$A$2:$A$149,0)))</f>
        <v>Struct</v>
      </c>
      <c r="H659">
        <v>2011</v>
      </c>
      <c r="I659">
        <f t="shared" si="106"/>
        <v>0</v>
      </c>
      <c r="N659"/>
      <c r="O659" s="58"/>
      <c r="Q659" s="14"/>
      <c r="R659" s="14"/>
      <c r="S659" s="14"/>
      <c r="T659" s="14"/>
      <c r="U659" s="14"/>
      <c r="V659" s="14" t="str">
        <f t="shared" si="114"/>
        <v/>
      </c>
      <c r="X659" s="85">
        <f t="shared" si="108"/>
        <v>0</v>
      </c>
      <c r="Y659" s="21" t="str">
        <f t="shared" si="120"/>
        <v/>
      </c>
      <c r="Z659" t="s">
        <v>658</v>
      </c>
      <c r="AA659" s="55">
        <f t="shared" si="115"/>
        <v>0</v>
      </c>
      <c r="AB659" s="55">
        <f t="shared" si="116"/>
        <v>0</v>
      </c>
      <c r="AC659" s="55">
        <f t="shared" si="110"/>
        <v>0</v>
      </c>
    </row>
    <row r="660" spans="1:29">
      <c r="A660" t="s">
        <v>350</v>
      </c>
      <c r="B660" s="16" t="str">
        <f>INDEX(emprunts!C:C,MATCH($A660,emprunts!A:A,0))</f>
        <v>Dexia CL</v>
      </c>
      <c r="C660" s="18">
        <f>INDEX(emprunts!M:M,MATCH($A660,emprunts!$A:$A,0))</f>
        <v>41030</v>
      </c>
      <c r="D660" s="18">
        <f>IF(INDEX(emprunts!O:O,MATCH($A660,emprunts!$A:$A,0))="",INDEX(emprunts!N:N,MATCH($A660,emprunts!$A:$A,0)),MIN(INDEX(emprunts!N:N,MATCH($A660,emprunts!$A:$A,0)),INDEX(emprunts!O:O,MATCH($A660,emprunts!$A:$A,0))))</f>
        <v>41426</v>
      </c>
      <c r="E660" s="52">
        <f>INDEX(emprunts!I:I,MATCH($A660,emprunts!$A:$A,0))</f>
        <v>15</v>
      </c>
      <c r="F660" s="18" t="str">
        <f>INDEX(emprunts!P:P,MATCH($A660,emprunts!$A:$A,0))</f>
        <v>Variable</v>
      </c>
      <c r="G660" s="126" t="str">
        <f>IF(LEFT(A660,3)="vx_","vx",INDEX(Categorie,MATCH($A660,emprunts!$A$2:$A$149,0)))</f>
        <v>Non_st</v>
      </c>
      <c r="H660">
        <v>2011</v>
      </c>
      <c r="I660">
        <f t="shared" si="106"/>
        <v>0</v>
      </c>
      <c r="N660"/>
      <c r="O660" s="58"/>
      <c r="Q660" s="14"/>
      <c r="R660" s="14"/>
      <c r="S660" s="14"/>
      <c r="T660" s="14"/>
      <c r="U660" s="14"/>
      <c r="V660" s="14" t="str">
        <f t="shared" si="114"/>
        <v/>
      </c>
      <c r="X660" s="85">
        <f t="shared" si="108"/>
        <v>0</v>
      </c>
      <c r="Y660" s="21" t="str">
        <f t="shared" si="120"/>
        <v/>
      </c>
      <c r="AA660" s="55">
        <f t="shared" si="115"/>
        <v>0</v>
      </c>
      <c r="AB660" s="55">
        <f t="shared" si="116"/>
        <v>0</v>
      </c>
      <c r="AC660" s="55">
        <f t="shared" si="110"/>
        <v>0</v>
      </c>
    </row>
    <row r="661" spans="1:29">
      <c r="A661" t="s">
        <v>352</v>
      </c>
      <c r="B661" s="16" t="str">
        <f>INDEX(emprunts!C:C,MATCH($A661,emprunts!A:A,0))</f>
        <v>Caisse d'Épargne</v>
      </c>
      <c r="C661" s="18">
        <f>INDEX(emprunts!M:M,MATCH($A661,emprunts!$A:$A,0))</f>
        <v>41167</v>
      </c>
      <c r="D661" s="18">
        <f>IF(INDEX(emprunts!O:O,MATCH($A661,emprunts!$A:$A,0))="",INDEX(emprunts!N:N,MATCH($A661,emprunts!$A:$A,0)),MIN(INDEX(emprunts!N:N,MATCH($A661,emprunts!$A:$A,0)),INDEX(emprunts!O:O,MATCH($A661,emprunts!$A:$A,0))))</f>
        <v>48785</v>
      </c>
      <c r="E661" s="52">
        <f>INDEX(emprunts!I:I,MATCH($A661,emprunts!$A:$A,0))</f>
        <v>20.8</v>
      </c>
      <c r="F661" s="18" t="str">
        <f>INDEX(emprunts!P:P,MATCH($A661,emprunts!$A:$A,0))</f>
        <v>Fixe</v>
      </c>
      <c r="G661" s="126" t="str">
        <f>IF(LEFT(A661,3)="vx_","vx",INDEX(Categorie,MATCH($A661,emprunts!$A$2:$A$149,0)))</f>
        <v>Non_st</v>
      </c>
      <c r="H661">
        <v>2011</v>
      </c>
      <c r="I661">
        <f t="shared" si="106"/>
        <v>0</v>
      </c>
      <c r="N661"/>
      <c r="O661" s="58"/>
      <c r="Q661" s="14"/>
      <c r="R661" s="14"/>
      <c r="S661" s="14"/>
      <c r="T661" s="14"/>
      <c r="U661" s="14"/>
      <c r="V661" s="14" t="str">
        <f t="shared" si="114"/>
        <v/>
      </c>
      <c r="X661" s="85">
        <f t="shared" si="108"/>
        <v>0</v>
      </c>
      <c r="Y661" s="21" t="str">
        <f t="shared" si="120"/>
        <v/>
      </c>
      <c r="AA661" s="55">
        <f t="shared" si="115"/>
        <v>0</v>
      </c>
      <c r="AB661" s="55">
        <f t="shared" si="116"/>
        <v>0</v>
      </c>
      <c r="AC661" s="55">
        <f t="shared" si="110"/>
        <v>0</v>
      </c>
    </row>
    <row r="662" spans="1:29">
      <c r="A662" s="1" t="s">
        <v>493</v>
      </c>
      <c r="B662" s="16" t="str">
        <f>INDEX(emprunts!C:C,MATCH($A662,emprunts!A:A,0))</f>
        <v>Dexia CL</v>
      </c>
      <c r="C662" s="18">
        <f>INDEX(emprunts!M:M,MATCH($A662,emprunts!$A:$A,0))</f>
        <v>41244</v>
      </c>
      <c r="D662" s="18">
        <f>IF(INDEX(emprunts!O:O,MATCH($A662,emprunts!$A:$A,0))="",INDEX(emprunts!N:N,MATCH($A662,emprunts!$A:$A,0)),MIN(INDEX(emprunts!N:N,MATCH($A662,emprunts!$A:$A,0)),INDEX(emprunts!O:O,MATCH($A662,emprunts!$A:$A,0))))</f>
        <v>42675</v>
      </c>
      <c r="E662" s="52">
        <f>INDEX(emprunts!I:I,MATCH($A662,emprunts!$A:$A,0))</f>
        <v>17</v>
      </c>
      <c r="F662" s="18" t="str">
        <f>INDEX(emprunts!P:P,MATCH($A662,emprunts!$A:$A,0))</f>
        <v>Change</v>
      </c>
      <c r="G662" s="126" t="str">
        <f>IF(LEFT(A662,3)="vx_","vx",INDEX(Categorie,MATCH($A662,emprunts!$A$2:$A$149,0)))</f>
        <v>Struct</v>
      </c>
      <c r="H662">
        <v>2011</v>
      </c>
      <c r="I662">
        <f t="shared" si="106"/>
        <v>0</v>
      </c>
      <c r="N662"/>
      <c r="O662" s="58"/>
      <c r="Q662" s="14"/>
      <c r="R662" s="14"/>
      <c r="S662" s="14"/>
      <c r="T662" s="14"/>
      <c r="U662" s="14"/>
      <c r="V662" s="14" t="str">
        <f t="shared" si="114"/>
        <v/>
      </c>
      <c r="X662" s="85">
        <f t="shared" si="108"/>
        <v>0</v>
      </c>
      <c r="Y662" s="21" t="str">
        <f t="shared" si="120"/>
        <v/>
      </c>
      <c r="AA662" s="55">
        <f t="shared" si="115"/>
        <v>0</v>
      </c>
      <c r="AB662" s="55">
        <f t="shared" si="116"/>
        <v>0</v>
      </c>
      <c r="AC662" s="55">
        <f t="shared" si="110"/>
        <v>0</v>
      </c>
    </row>
    <row r="663" spans="1:29" ht="30">
      <c r="A663" s="1" t="s">
        <v>495</v>
      </c>
      <c r="B663" s="16" t="str">
        <f>INDEX(emprunts!C:C,MATCH($A663,emprunts!A:A,0))</f>
        <v>Dexia CL</v>
      </c>
      <c r="C663" s="18">
        <f>INDEX(emprunts!M:M,MATCH($A663,emprunts!$A:$A,0))</f>
        <v>41244</v>
      </c>
      <c r="D663" s="18">
        <f>IF(INDEX(emprunts!O:O,MATCH($A663,emprunts!$A:$A,0))="",INDEX(emprunts!N:N,MATCH($A663,emprunts!$A:$A,0)),MIN(INDEX(emprunts!N:N,MATCH($A663,emprunts!$A:$A,0)),INDEX(emprunts!O:O,MATCH($A663,emprunts!$A:$A,0))))</f>
        <v>48914</v>
      </c>
      <c r="E663" s="52">
        <f>INDEX(emprunts!I:I,MATCH($A663,emprunts!$A:$A,0))</f>
        <v>21</v>
      </c>
      <c r="F663" s="18" t="str">
        <f>INDEX(emprunts!P:P,MATCH($A663,emprunts!$A:$A,0))</f>
        <v>Fixe</v>
      </c>
      <c r="G663" s="126" t="str">
        <f>IF(LEFT(A663,3)="vx_","vx",INDEX(Categorie,MATCH($A663,emprunts!$A$2:$A$149,0)))</f>
        <v>Restr_sec</v>
      </c>
      <c r="H663">
        <v>2011</v>
      </c>
      <c r="I663">
        <f t="shared" si="106"/>
        <v>0</v>
      </c>
      <c r="N663"/>
      <c r="O663" s="58"/>
      <c r="Q663" s="14"/>
      <c r="R663" s="14"/>
      <c r="S663" s="14"/>
      <c r="T663" s="14"/>
      <c r="U663" s="14"/>
      <c r="V663" s="14" t="str">
        <f t="shared" si="114"/>
        <v/>
      </c>
      <c r="X663" s="85">
        <f t="shared" si="108"/>
        <v>0</v>
      </c>
      <c r="Y663" s="21" t="str">
        <f t="shared" si="120"/>
        <v/>
      </c>
      <c r="AA663" s="55">
        <f t="shared" si="115"/>
        <v>0</v>
      </c>
      <c r="AB663" s="55">
        <f t="shared" si="116"/>
        <v>0</v>
      </c>
      <c r="AC663" s="55">
        <f t="shared" si="110"/>
        <v>0</v>
      </c>
    </row>
    <row r="664" spans="1:29">
      <c r="A664" s="1" t="s">
        <v>540</v>
      </c>
      <c r="B664" s="16" t="str">
        <f>INDEX(emprunts!C:C,MATCH($A664,emprunts!A:A,0))</f>
        <v>Crédit Mutuel</v>
      </c>
      <c r="C664" s="18">
        <f>INDEX(emprunts!M:M,MATCH($A664,emprunts!$A:$A,0))</f>
        <v>36495</v>
      </c>
      <c r="D664" s="18">
        <f>IF(INDEX(emprunts!O:O,MATCH($A664,emprunts!$A:$A,0))="",INDEX(emprunts!N:N,MATCH($A664,emprunts!$A:$A,0)),MIN(INDEX(emprunts!N:N,MATCH($A664,emprunts!$A:$A,0)),INDEX(emprunts!O:O,MATCH($A664,emprunts!$A:$A,0))))</f>
        <v>41973</v>
      </c>
      <c r="E664" s="52">
        <f>INDEX(emprunts!I:I,MATCH($A664,emprunts!$A:$A,0))</f>
        <v>15</v>
      </c>
      <c r="F664" s="18" t="str">
        <f>INDEX(emprunts!P:P,MATCH($A664,emprunts!$A:$A,0))</f>
        <v>Fixe à phase</v>
      </c>
      <c r="G664" s="126" t="str">
        <f>IF(LEFT(A664,3)="vx_","vx",INDEX(Categorie,MATCH($A664,emprunts!$A$2:$A$149,0)))</f>
        <v>Non_st</v>
      </c>
      <c r="H664" s="6">
        <v>2012</v>
      </c>
      <c r="I664">
        <f t="shared" si="106"/>
        <v>1</v>
      </c>
      <c r="J664" s="4"/>
      <c r="K664" t="s">
        <v>155</v>
      </c>
      <c r="L664" s="5">
        <v>36860</v>
      </c>
      <c r="M664" s="5">
        <v>36860</v>
      </c>
      <c r="N664" s="14">
        <v>1524490.17</v>
      </c>
      <c r="O664" s="14">
        <v>295284</v>
      </c>
      <c r="P664" s="4">
        <v>2.8590000000000001E-2</v>
      </c>
      <c r="Q664" s="14">
        <v>8459.8799999999992</v>
      </c>
      <c r="R664" s="14">
        <v>145556.76999999999</v>
      </c>
      <c r="S664" s="14"/>
      <c r="T664" s="14">
        <v>364.33</v>
      </c>
      <c r="U664" s="14">
        <f>SUM(Q664:S664)</f>
        <v>154016.65</v>
      </c>
      <c r="V664" s="14">
        <f t="shared" si="114"/>
        <v>0</v>
      </c>
      <c r="W664" s="85"/>
      <c r="X664" s="85">
        <f t="shared" si="108"/>
        <v>0</v>
      </c>
      <c r="Y664" s="21">
        <f t="shared" si="120"/>
        <v>2.1442587783046613E-2</v>
      </c>
      <c r="AA664" s="55">
        <f t="shared" si="115"/>
        <v>7892.2099999999991</v>
      </c>
      <c r="AB664" s="55">
        <f t="shared" si="116"/>
        <v>4054.7700000000186</v>
      </c>
      <c r="AC664" s="55">
        <f t="shared" si="110"/>
        <v>368062.38500000001</v>
      </c>
    </row>
    <row r="665" spans="1:29">
      <c r="A665" t="s">
        <v>10</v>
      </c>
      <c r="B665" s="16" t="str">
        <f>INDEX(emprunts!C:C,MATCH($A665,emprunts!A:A,0))</f>
        <v>Crédit Mutuel</v>
      </c>
      <c r="C665" s="18">
        <f>INDEX(emprunts!M:M,MATCH($A665,emprunts!$A:$A,0))</f>
        <v>36950</v>
      </c>
      <c r="D665" s="18">
        <f>IF(INDEX(emprunts!O:O,MATCH($A665,emprunts!$A:$A,0))="",INDEX(emprunts!N:N,MATCH($A665,emprunts!$A:$A,0)),MIN(INDEX(emprunts!N:N,MATCH($A665,emprunts!$A:$A,0)),INDEX(emprunts!O:O,MATCH($A665,emprunts!$A:$A,0))))</f>
        <v>42429</v>
      </c>
      <c r="E665" s="52">
        <f>INDEX(emprunts!I:I,MATCH($A665,emprunts!$A:$A,0))</f>
        <v>15</v>
      </c>
      <c r="F665" s="18" t="str">
        <f>INDEX(emprunts!P:P,MATCH($A665,emprunts!$A:$A,0))</f>
        <v>Fixe</v>
      </c>
      <c r="G665" s="126" t="str">
        <f>IF(LEFT(A665,3)="vx_","vx",INDEX(Categorie,MATCH($A665,emprunts!$A$2:$A$149,0)))</f>
        <v>Non_st</v>
      </c>
      <c r="H665">
        <v>2012</v>
      </c>
      <c r="I665">
        <f t="shared" si="106"/>
        <v>1</v>
      </c>
      <c r="L665" s="5">
        <v>37315</v>
      </c>
      <c r="M665" s="5">
        <v>38045</v>
      </c>
      <c r="N665" s="14">
        <v>609796.06999999995</v>
      </c>
      <c r="O665" s="58">
        <v>187630</v>
      </c>
      <c r="P665" s="4">
        <v>2.7949999999999999E-2</v>
      </c>
      <c r="Q665" s="14">
        <v>5259.26</v>
      </c>
      <c r="R665" s="14">
        <v>46907.39</v>
      </c>
      <c r="S665" s="14"/>
      <c r="T665" s="14">
        <v>3306.85</v>
      </c>
      <c r="U665" s="14">
        <f>SUM(Q665:S665)</f>
        <v>52166.65</v>
      </c>
      <c r="V665" s="14">
        <f t="shared" si="114"/>
        <v>0</v>
      </c>
      <c r="X665" s="85">
        <f t="shared" si="108"/>
        <v>0</v>
      </c>
      <c r="Y665" s="21">
        <f t="shared" si="120"/>
        <v>1.4542857040663422E-2</v>
      </c>
      <c r="AA665" s="55">
        <f t="shared" si="115"/>
        <v>3069.76</v>
      </c>
      <c r="AB665" s="55">
        <f t="shared" si="116"/>
        <v>0.39000000001396984</v>
      </c>
      <c r="AC665" s="55">
        <f t="shared" si="110"/>
        <v>211083.69500000001</v>
      </c>
    </row>
    <row r="666" spans="1:29">
      <c r="A666" t="s">
        <v>22</v>
      </c>
      <c r="B666" s="16" t="str">
        <f>INDEX(emprunts!C:C,MATCH($A666,emprunts!A:A,0))</f>
        <v>Dexia CL</v>
      </c>
      <c r="C666" s="18">
        <f>INDEX(emprunts!M:M,MATCH($A666,emprunts!$A:$A,0))</f>
        <v>37221</v>
      </c>
      <c r="D666" s="18">
        <f>IF(INDEX(emprunts!O:O,MATCH($A666,emprunts!$A:$A,0))="",INDEX(emprunts!N:N,MATCH($A666,emprunts!$A:$A,0)),MIN(INDEX(emprunts!N:N,MATCH($A666,emprunts!$A:$A,0)),INDEX(emprunts!O:O,MATCH($A666,emprunts!$A:$A,0))))</f>
        <v>38777</v>
      </c>
      <c r="E666" s="52">
        <f>INDEX(emprunts!I:I,MATCH($A666,emprunts!$A:$A,0))</f>
        <v>20</v>
      </c>
      <c r="F666" s="18" t="str">
        <f>INDEX(emprunts!P:P,MATCH($A666,emprunts!$A:$A,0))</f>
        <v>Annulable</v>
      </c>
      <c r="G666" s="126" t="str">
        <f>IF(LEFT(A666,3)="vx_","vx",INDEX(Categorie,MATCH($A666,emprunts!$A$2:$A$149,0)))</f>
        <v>Struct</v>
      </c>
      <c r="H666">
        <v>2012</v>
      </c>
      <c r="I666">
        <f t="shared" si="106"/>
        <v>1</v>
      </c>
      <c r="N666" s="14"/>
      <c r="O666" s="58"/>
      <c r="Q666" s="14"/>
      <c r="R666" s="14"/>
      <c r="S666" s="14"/>
      <c r="T666" s="14"/>
      <c r="U666" s="14"/>
      <c r="V666" s="14" t="str">
        <f t="shared" si="114"/>
        <v/>
      </c>
      <c r="X666" s="85">
        <f t="shared" si="108"/>
        <v>0</v>
      </c>
      <c r="Y666" s="21" t="str">
        <f t="shared" si="120"/>
        <v/>
      </c>
      <c r="AA666" s="55">
        <f t="shared" si="115"/>
        <v>0</v>
      </c>
      <c r="AB666" s="55">
        <f t="shared" si="116"/>
        <v>0</v>
      </c>
      <c r="AC666" s="55">
        <f t="shared" si="110"/>
        <v>0</v>
      </c>
    </row>
    <row r="667" spans="1:29">
      <c r="A667" t="s">
        <v>28</v>
      </c>
      <c r="B667" s="16" t="str">
        <f>INDEX(emprunts!C:C,MATCH($A667,emprunts!A:A,0))</f>
        <v>CDC</v>
      </c>
      <c r="C667" s="18">
        <f>INDEX(emprunts!M:M,MATCH($A667,emprunts!$A:$A,0))</f>
        <v>37288</v>
      </c>
      <c r="D667" s="18">
        <f>IF(INDEX(emprunts!O:O,MATCH($A667,emprunts!$A:$A,0))="",INDEX(emprunts!N:N,MATCH($A667,emprunts!$A:$A,0)),MIN(INDEX(emprunts!N:N,MATCH($A667,emprunts!$A:$A,0)),INDEX(emprunts!O:O,MATCH($A667,emprunts!$A:$A,0))))</f>
        <v>44593</v>
      </c>
      <c r="E667" s="52">
        <f>INDEX(emprunts!I:I,MATCH($A667,emprunts!$A:$A,0))</f>
        <v>20</v>
      </c>
      <c r="F667" s="18" t="str">
        <f>INDEX(emprunts!P:P,MATCH($A667,emprunts!$A:$A,0))</f>
        <v>Livret A</v>
      </c>
      <c r="G667" s="126" t="str">
        <f>IF(LEFT(A667,3)="vx_","vx",INDEX(Categorie,MATCH($A667,emprunts!$A$2:$A$149,0)))</f>
        <v>Livr_A</v>
      </c>
      <c r="H667">
        <v>2012</v>
      </c>
      <c r="I667">
        <f t="shared" si="106"/>
        <v>1</v>
      </c>
      <c r="L667" s="5">
        <v>37653</v>
      </c>
      <c r="M667" s="5">
        <v>37653</v>
      </c>
      <c r="N667" s="14">
        <v>2137796</v>
      </c>
      <c r="O667" s="58">
        <v>1201326</v>
      </c>
      <c r="P667" s="4">
        <v>1.584E-2</v>
      </c>
      <c r="Q667" s="14">
        <v>27029.84</v>
      </c>
      <c r="R667" s="14">
        <v>107859.06</v>
      </c>
      <c r="S667" s="14"/>
      <c r="T667" s="14">
        <v>14964.03</v>
      </c>
      <c r="U667" s="14">
        <f>SUM(Q667:S667)</f>
        <v>134888.9</v>
      </c>
      <c r="V667" s="14">
        <f t="shared" si="114"/>
        <v>0</v>
      </c>
      <c r="X667" s="85">
        <f t="shared" si="108"/>
        <v>0</v>
      </c>
      <c r="Y667" s="21">
        <f t="shared" si="120"/>
        <v>1.4428257487939529E-2</v>
      </c>
      <c r="AA667" s="55">
        <f t="shared" si="115"/>
        <v>18111.150000000001</v>
      </c>
      <c r="AB667" s="55">
        <f t="shared" si="116"/>
        <v>297.06000000005588</v>
      </c>
      <c r="AC667" s="55">
        <f t="shared" si="110"/>
        <v>1255255.53</v>
      </c>
    </row>
    <row r="668" spans="1:29">
      <c r="A668" t="s">
        <v>31</v>
      </c>
      <c r="B668" s="16" t="str">
        <f>INDEX(emprunts!C:C,MATCH($A668,emprunts!A:A,0))</f>
        <v>CDC</v>
      </c>
      <c r="C668" s="18">
        <f>INDEX(emprunts!M:M,MATCH($A668,emprunts!$A:$A,0))</f>
        <v>37347</v>
      </c>
      <c r="D668" s="18">
        <f>IF(INDEX(emprunts!O:O,MATCH($A668,emprunts!$A:$A,0))="",INDEX(emprunts!N:N,MATCH($A668,emprunts!$A:$A,0)),MIN(INDEX(emprunts!N:N,MATCH($A668,emprunts!$A:$A,0)),INDEX(emprunts!O:O,MATCH($A668,emprunts!$A:$A,0))))</f>
        <v>44652</v>
      </c>
      <c r="E668" s="52">
        <f>INDEX(emprunts!I:I,MATCH($A668,emprunts!$A:$A,0))</f>
        <v>20</v>
      </c>
      <c r="F668" s="18" t="str">
        <f>INDEX(emprunts!P:P,MATCH($A668,emprunts!$A:$A,0))</f>
        <v>Livret A</v>
      </c>
      <c r="G668" s="126" t="str">
        <f>IF(LEFT(A668,3)="vx_","vx",INDEX(Categorie,MATCH($A668,emprunts!$A$2:$A$149,0)))</f>
        <v>Livr_A</v>
      </c>
      <c r="H668">
        <v>2012</v>
      </c>
      <c r="I668">
        <f t="shared" si="106"/>
        <v>1</v>
      </c>
      <c r="N668" s="14"/>
      <c r="O668" s="58"/>
      <c r="Q668" s="14"/>
      <c r="R668" s="14"/>
      <c r="S668" s="14"/>
      <c r="T668" s="14"/>
      <c r="U668" s="14"/>
      <c r="V668" s="14" t="str">
        <f t="shared" si="114"/>
        <v/>
      </c>
      <c r="X668" s="85">
        <f t="shared" si="108"/>
        <v>0</v>
      </c>
      <c r="Y668" s="21" t="str">
        <f t="shared" si="120"/>
        <v/>
      </c>
      <c r="AA668" s="55">
        <f t="shared" si="115"/>
        <v>0</v>
      </c>
      <c r="AB668" s="55">
        <f t="shared" si="116"/>
        <v>0</v>
      </c>
      <c r="AC668" s="55">
        <f t="shared" si="110"/>
        <v>0</v>
      </c>
    </row>
    <row r="669" spans="1:29">
      <c r="A669" t="s">
        <v>33</v>
      </c>
      <c r="B669" s="16" t="str">
        <f>INDEX(emprunts!C:C,MATCH($A669,emprunts!A:A,0))</f>
        <v>Crédit Agricole</v>
      </c>
      <c r="C669" s="18">
        <f>INDEX(emprunts!M:M,MATCH($A669,emprunts!$A:$A,0))</f>
        <v>37361</v>
      </c>
      <c r="D669" s="18">
        <f>IF(INDEX(emprunts!O:O,MATCH($A669,emprunts!$A:$A,0))="",INDEX(emprunts!N:N,MATCH($A669,emprunts!$A:$A,0)),MIN(INDEX(emprunts!N:N,MATCH($A669,emprunts!$A:$A,0)),INDEX(emprunts!O:O,MATCH($A669,emprunts!$A:$A,0))))</f>
        <v>42843</v>
      </c>
      <c r="E669" s="52">
        <f>INDEX(emprunts!I:I,MATCH($A669,emprunts!$A:$A,0))</f>
        <v>15</v>
      </c>
      <c r="F669" s="18" t="str">
        <f>INDEX(emprunts!P:P,MATCH($A669,emprunts!$A:$A,0))</f>
        <v>Barrière hors zone EUR</v>
      </c>
      <c r="G669" s="126" t="str">
        <f>IF(LEFT(A669,3)="vx_","vx",INDEX(Categorie,MATCH($A669,emprunts!$A$2:$A$149,0)))</f>
        <v>Struct</v>
      </c>
      <c r="H669">
        <v>2012</v>
      </c>
      <c r="I669">
        <f t="shared" si="106"/>
        <v>1</v>
      </c>
      <c r="L669" s="5">
        <v>37726</v>
      </c>
      <c r="M669" s="5">
        <v>37726</v>
      </c>
      <c r="N669" s="14"/>
      <c r="O669" s="58">
        <v>5134327</v>
      </c>
      <c r="P669" s="4">
        <v>2.5200000000000001E-3</v>
      </c>
      <c r="Q669" s="14">
        <v>13266.7</v>
      </c>
      <c r="R669" s="14">
        <v>957458.29</v>
      </c>
      <c r="S669" s="14"/>
      <c r="T669" s="14">
        <v>7438.27</v>
      </c>
      <c r="U669" s="14">
        <f>SUM(Q669:S669)</f>
        <v>970724.99</v>
      </c>
      <c r="V669" s="14">
        <f t="shared" si="114"/>
        <v>0</v>
      </c>
      <c r="X669" s="85">
        <f t="shared" si="108"/>
        <v>0</v>
      </c>
      <c r="Y669" s="21" t="str">
        <f t="shared" si="120"/>
        <v/>
      </c>
      <c r="AA669" s="55">
        <f t="shared" si="115"/>
        <v>-22770.03</v>
      </c>
      <c r="AB669" s="55">
        <f t="shared" si="116"/>
        <v>32380.290000000037</v>
      </c>
      <c r="AC669" s="55">
        <f t="shared" si="110"/>
        <v>5613056.1449999996</v>
      </c>
    </row>
    <row r="670" spans="1:29">
      <c r="A670" t="s">
        <v>43</v>
      </c>
      <c r="B670" s="16" t="str">
        <f>INDEX(emprunts!C:C,MATCH($A670,emprunts!A:A,0))</f>
        <v>Dexia CL</v>
      </c>
      <c r="C670" s="18">
        <f>INDEX(emprunts!M:M,MATCH($A670,emprunts!$A:$A,0))</f>
        <v>37377</v>
      </c>
      <c r="D670" s="18">
        <f>IF(INDEX(emprunts!O:O,MATCH($A670,emprunts!$A:$A,0))="",INDEX(emprunts!N:N,MATCH($A670,emprunts!$A:$A,0)),MIN(INDEX(emprunts!N:N,MATCH($A670,emprunts!$A:$A,0)),INDEX(emprunts!O:O,MATCH($A670,emprunts!$A:$A,0))))</f>
        <v>38534</v>
      </c>
      <c r="E670" s="52">
        <f>INDEX(emprunts!I:I,MATCH($A670,emprunts!$A:$A,0))</f>
        <v>19.25</v>
      </c>
      <c r="F670" s="18" t="str">
        <f>INDEX(emprunts!P:P,MATCH($A670,emprunts!$A:$A,0))</f>
        <v>Barrière hors zone EUR</v>
      </c>
      <c r="G670" s="126" t="str">
        <f>IF(LEFT(A670,3)="vx_","vx",INDEX(Categorie,MATCH($A670,emprunts!$A$2:$A$149,0)))</f>
        <v>Struct</v>
      </c>
      <c r="H670">
        <v>2012</v>
      </c>
      <c r="I670">
        <f t="shared" ref="I670:I688" si="121">1*(C670&lt;DATE(H670,12,31))</f>
        <v>1</v>
      </c>
      <c r="N670" s="14"/>
      <c r="O670" s="58"/>
      <c r="Q670" s="14"/>
      <c r="R670" s="14"/>
      <c r="S670" s="14"/>
      <c r="T670" s="14"/>
      <c r="U670" s="14"/>
      <c r="V670" s="14" t="str">
        <f t="shared" si="114"/>
        <v/>
      </c>
      <c r="X670" s="85">
        <f t="shared" ref="X670:X688" si="122">SUMPRODUCT((De=$A670)*(année_refi=$H670),Montant_transfere)</f>
        <v>0</v>
      </c>
      <c r="Y670" s="21" t="str">
        <f t="shared" si="120"/>
        <v/>
      </c>
      <c r="AA670" s="55">
        <f t="shared" si="115"/>
        <v>0</v>
      </c>
      <c r="AB670" s="55">
        <f t="shared" si="116"/>
        <v>0</v>
      </c>
      <c r="AC670" s="55">
        <f t="shared" si="110"/>
        <v>0</v>
      </c>
    </row>
    <row r="671" spans="1:29">
      <c r="A671" t="s">
        <v>46</v>
      </c>
      <c r="B671" s="16" t="str">
        <f>INDEX(emprunts!C:C,MATCH($A671,emprunts!A:A,0))</f>
        <v>Dexia CL</v>
      </c>
      <c r="C671" s="18">
        <f>INDEX(emprunts!M:M,MATCH($A671,emprunts!$A:$A,0))</f>
        <v>37377</v>
      </c>
      <c r="D671" s="18">
        <f>IF(INDEX(emprunts!O:O,MATCH($A671,emprunts!$A:$A,0))="",INDEX(emprunts!N:N,MATCH($A671,emprunts!$A:$A,0)),MIN(INDEX(emprunts!N:N,MATCH($A671,emprunts!$A:$A,0)),INDEX(emprunts!O:O,MATCH($A671,emprunts!$A:$A,0))))</f>
        <v>38087</v>
      </c>
      <c r="E671" s="52">
        <f>INDEX(emprunts!I:I,MATCH($A671,emprunts!$A:$A,0))</f>
        <v>19.25</v>
      </c>
      <c r="F671" s="18" t="str">
        <f>INDEX(emprunts!P:P,MATCH($A671,emprunts!$A:$A,0))</f>
        <v>Barrière hors zone EUR</v>
      </c>
      <c r="G671" s="126" t="str">
        <f>IF(LEFT(A671,3)="vx_","vx",INDEX(Categorie,MATCH($A671,emprunts!$A$2:$A$149,0)))</f>
        <v>Struct</v>
      </c>
      <c r="H671">
        <v>2012</v>
      </c>
      <c r="I671">
        <f t="shared" si="121"/>
        <v>1</v>
      </c>
      <c r="N671" s="14"/>
      <c r="O671" s="58"/>
      <c r="Q671" s="14"/>
      <c r="R671" s="14"/>
      <c r="S671" s="14"/>
      <c r="T671" s="14"/>
      <c r="U671" s="14"/>
      <c r="V671" s="14" t="str">
        <f t="shared" si="114"/>
        <v/>
      </c>
      <c r="X671" s="85">
        <f t="shared" si="122"/>
        <v>0</v>
      </c>
      <c r="Y671" s="21" t="str">
        <f t="shared" si="120"/>
        <v/>
      </c>
      <c r="AA671" s="55">
        <f t="shared" si="115"/>
        <v>0</v>
      </c>
      <c r="AB671" s="55">
        <f t="shared" si="116"/>
        <v>0</v>
      </c>
      <c r="AC671" s="55">
        <f t="shared" si="110"/>
        <v>0</v>
      </c>
    </row>
    <row r="672" spans="1:29">
      <c r="A672" t="s">
        <v>59</v>
      </c>
      <c r="B672" s="16" t="str">
        <f>INDEX(emprunts!C:C,MATCH($A672,emprunts!A:A,0))</f>
        <v>CDC</v>
      </c>
      <c r="C672" s="18">
        <f>INDEX(emprunts!M:M,MATCH($A672,emprunts!$A:$A,0))</f>
        <v>37621</v>
      </c>
      <c r="D672" s="18">
        <f>IF(INDEX(emprunts!O:O,MATCH($A672,emprunts!$A:$A,0))="",INDEX(emprunts!N:N,MATCH($A672,emprunts!$A:$A,0)),MIN(INDEX(emprunts!N:N,MATCH($A672,emprunts!$A:$A,0)),INDEX(emprunts!O:O,MATCH($A672,emprunts!$A:$A,0))))</f>
        <v>44927</v>
      </c>
      <c r="E672" s="52">
        <f>INDEX(emprunts!I:I,MATCH($A672,emprunts!$A:$A,0))</f>
        <v>20</v>
      </c>
      <c r="F672" s="18" t="str">
        <f>INDEX(emprunts!P:P,MATCH($A672,emprunts!$A:$A,0))</f>
        <v>Livret A</v>
      </c>
      <c r="G672" s="126" t="str">
        <f>IF(LEFT(A672,3)="vx_","vx",INDEX(Categorie,MATCH($A672,emprunts!$A$2:$A$149,0)))</f>
        <v>Livr_A</v>
      </c>
      <c r="H672">
        <v>2012</v>
      </c>
      <c r="I672">
        <f t="shared" si="121"/>
        <v>1</v>
      </c>
      <c r="N672" s="14"/>
      <c r="O672" s="58"/>
      <c r="Q672" s="14"/>
      <c r="R672" s="14"/>
      <c r="S672" s="14"/>
      <c r="T672" s="14"/>
      <c r="U672" s="14"/>
      <c r="V672" s="14" t="str">
        <f t="shared" si="114"/>
        <v/>
      </c>
      <c r="X672" s="85">
        <f t="shared" si="122"/>
        <v>0</v>
      </c>
      <c r="Y672" s="21" t="str">
        <f t="shared" si="120"/>
        <v/>
      </c>
      <c r="AA672" s="55">
        <f t="shared" si="115"/>
        <v>0</v>
      </c>
      <c r="AB672" s="55">
        <f t="shared" si="116"/>
        <v>0</v>
      </c>
      <c r="AC672" s="55">
        <f t="shared" ref="AC672:AC697" si="123">MAX(0,(C672-DATE(H672,1,1))/365)*0+MAX(0,MIN(1,(MIN(DATE(H672,12,31),D672)-MAX(DATE(H672,1,1),C672))/365))*(O672+X672+R672/2)</f>
        <v>0</v>
      </c>
    </row>
    <row r="673" spans="1:29">
      <c r="A673" t="s">
        <v>78</v>
      </c>
      <c r="B673" s="16" t="str">
        <f>INDEX(emprunts!C:C,MATCH($A673,emprunts!A:A,0))</f>
        <v>Dexia CL</v>
      </c>
      <c r="C673" s="18">
        <f>INDEX(emprunts!M:M,MATCH($A673,emprunts!$A:$A,0))</f>
        <v>37772</v>
      </c>
      <c r="D673" s="18">
        <f>IF(INDEX(emprunts!O:O,MATCH($A673,emprunts!$A:$A,0))="",INDEX(emprunts!N:N,MATCH($A673,emprunts!$A:$A,0)),MIN(INDEX(emprunts!N:N,MATCH($A673,emprunts!$A:$A,0)),INDEX(emprunts!O:O,MATCH($A673,emprunts!$A:$A,0))))</f>
        <v>38443</v>
      </c>
      <c r="E673" s="52">
        <f>INDEX(emprunts!I:I,MATCH($A673,emprunts!$A:$A,0))</f>
        <v>20</v>
      </c>
      <c r="F673" s="18" t="str">
        <f>INDEX(emprunts!P:P,MATCH($A673,emprunts!$A:$A,0))</f>
        <v>Barrière</v>
      </c>
      <c r="G673" s="126" t="str">
        <f>IF(LEFT(A673,3)="vx_","vx",INDEX(Categorie,MATCH($A673,emprunts!$A$2:$A$149,0)))</f>
        <v>Struct</v>
      </c>
      <c r="H673">
        <v>2012</v>
      </c>
      <c r="I673">
        <f t="shared" si="121"/>
        <v>1</v>
      </c>
      <c r="N673" s="14"/>
      <c r="O673" s="58"/>
      <c r="Q673" s="14"/>
      <c r="R673" s="14"/>
      <c r="S673" s="14"/>
      <c r="T673" s="14"/>
      <c r="U673" s="14"/>
      <c r="V673" s="14" t="str">
        <f t="shared" si="114"/>
        <v/>
      </c>
      <c r="X673" s="85">
        <f t="shared" si="122"/>
        <v>0</v>
      </c>
      <c r="Y673" s="21" t="str">
        <f t="shared" si="120"/>
        <v/>
      </c>
      <c r="AA673" s="55">
        <f t="shared" si="115"/>
        <v>0</v>
      </c>
      <c r="AB673" s="55">
        <f t="shared" si="116"/>
        <v>0</v>
      </c>
      <c r="AC673" s="55">
        <f t="shared" si="123"/>
        <v>0</v>
      </c>
    </row>
    <row r="674" spans="1:29">
      <c r="A674" t="s">
        <v>86</v>
      </c>
      <c r="B674" s="16" t="str">
        <f>INDEX(emprunts!C:C,MATCH($A674,emprunts!A:A,0))</f>
        <v>Caisse d'Épargne</v>
      </c>
      <c r="C674" s="18">
        <f>INDEX(emprunts!M:M,MATCH($A674,emprunts!$A:$A,0))</f>
        <v>38022</v>
      </c>
      <c r="D674" s="18">
        <f>IF(INDEX(emprunts!O:O,MATCH($A674,emprunts!$A:$A,0))="",INDEX(emprunts!N:N,MATCH($A674,emprunts!$A:$A,0)),MIN(INDEX(emprunts!N:N,MATCH($A674,emprunts!$A:$A,0)),INDEX(emprunts!O:O,MATCH($A674,emprunts!$A:$A,0))))</f>
        <v>40719</v>
      </c>
      <c r="E674" s="52">
        <f>INDEX(emprunts!I:I,MATCH($A674,emprunts!$A:$A,0))</f>
        <v>7</v>
      </c>
      <c r="F674" s="18" t="str">
        <f>INDEX(emprunts!P:P,MATCH($A674,emprunts!$A:$A,0))</f>
        <v>Fixe</v>
      </c>
      <c r="G674" s="126" t="str">
        <f>IF(LEFT(A674,3)="vx_","vx",INDEX(Categorie,MATCH($A674,emprunts!$A$2:$A$149,0)))</f>
        <v>Non_st</v>
      </c>
      <c r="H674">
        <v>2012</v>
      </c>
      <c r="I674">
        <f t="shared" si="121"/>
        <v>1</v>
      </c>
      <c r="N674" s="14"/>
      <c r="O674" s="58"/>
      <c r="Q674" s="14"/>
      <c r="R674" s="14"/>
      <c r="S674" s="14"/>
      <c r="T674" s="14"/>
      <c r="U674" s="14"/>
      <c r="V674" s="14" t="str">
        <f t="shared" si="114"/>
        <v/>
      </c>
      <c r="X674" s="85">
        <f t="shared" si="122"/>
        <v>0</v>
      </c>
      <c r="Y674" s="21" t="str">
        <f t="shared" si="120"/>
        <v/>
      </c>
      <c r="AA674" s="55">
        <f t="shared" si="115"/>
        <v>0</v>
      </c>
      <c r="AB674" s="55">
        <f t="shared" si="116"/>
        <v>0</v>
      </c>
      <c r="AC674" s="55">
        <f t="shared" si="123"/>
        <v>0</v>
      </c>
    </row>
    <row r="675" spans="1:29">
      <c r="A675" t="s">
        <v>183</v>
      </c>
      <c r="B675" s="16" t="str">
        <f>INDEX(emprunts!C:C,MATCH($A675,emprunts!A:A,0))</f>
        <v>CDC</v>
      </c>
      <c r="C675" s="18">
        <f>INDEX(emprunts!M:M,MATCH($A675,emprunts!$A:$A,0))</f>
        <v>38473</v>
      </c>
      <c r="D675" s="18">
        <f>IF(INDEX(emprunts!O:O,MATCH($A675,emprunts!$A:$A,0))="",INDEX(emprunts!N:N,MATCH($A675,emprunts!$A:$A,0)),MIN(INDEX(emprunts!N:N,MATCH($A675,emprunts!$A:$A,0)),INDEX(emprunts!O:O,MATCH($A675,emprunts!$A:$A,0))))</f>
        <v>40663</v>
      </c>
      <c r="E675" s="52">
        <f>INDEX(emprunts!I:I,MATCH($A675,emprunts!$A:$A,0))</f>
        <v>6</v>
      </c>
      <c r="F675" s="18" t="str">
        <f>INDEX(emprunts!P:P,MATCH($A675,emprunts!$A:$A,0))</f>
        <v>Variable</v>
      </c>
      <c r="G675" s="126" t="str">
        <f>IF(LEFT(A675,3)="vx_","vx",INDEX(Categorie,MATCH($A675,emprunts!$A$2:$A$149,0)))</f>
        <v>Non_st</v>
      </c>
      <c r="H675">
        <v>2012</v>
      </c>
      <c r="I675">
        <f t="shared" si="121"/>
        <v>1</v>
      </c>
      <c r="N675" s="14"/>
      <c r="O675" s="58"/>
      <c r="Q675" s="14"/>
      <c r="R675" s="14"/>
      <c r="S675" s="14"/>
      <c r="T675" s="14"/>
      <c r="U675" s="14"/>
      <c r="V675" s="14" t="str">
        <f t="shared" ref="V675:V717" si="124">IF(U675="","",U675-SUM(Q675:S675))</f>
        <v/>
      </c>
      <c r="X675" s="85">
        <f t="shared" si="122"/>
        <v>0</v>
      </c>
      <c r="Y675" s="21" t="str">
        <f t="shared" si="120"/>
        <v/>
      </c>
      <c r="AA675" s="55">
        <f t="shared" si="115"/>
        <v>0</v>
      </c>
      <c r="AB675" s="55">
        <f t="shared" si="116"/>
        <v>0</v>
      </c>
      <c r="AC675" s="55">
        <f t="shared" si="123"/>
        <v>0</v>
      </c>
    </row>
    <row r="676" spans="1:29">
      <c r="A676" t="s">
        <v>185</v>
      </c>
      <c r="B676" s="16" t="str">
        <f>INDEX(emprunts!C:C,MATCH($A676,emprunts!A:A,0))</f>
        <v>CDC</v>
      </c>
      <c r="C676" s="18">
        <f>INDEX(emprunts!M:M,MATCH($A676,emprunts!$A:$A,0))</f>
        <v>38473</v>
      </c>
      <c r="D676" s="18">
        <f>IF(INDEX(emprunts!O:O,MATCH($A676,emprunts!$A:$A,0))="",INDEX(emprunts!N:N,MATCH($A676,emprunts!$A:$A,0)),MIN(INDEX(emprunts!N:N,MATCH($A676,emprunts!$A:$A,0)),INDEX(emprunts!O:O,MATCH($A676,emprunts!$A:$A,0))))</f>
        <v>41393</v>
      </c>
      <c r="E676" s="52">
        <f>INDEX(emprunts!I:I,MATCH($A676,emprunts!$A:$A,0))</f>
        <v>8</v>
      </c>
      <c r="F676" s="18" t="str">
        <f>INDEX(emprunts!P:P,MATCH($A676,emprunts!$A:$A,0))</f>
        <v>Variable</v>
      </c>
      <c r="G676" s="126" t="str">
        <f>IF(LEFT(A676,3)="vx_","vx",INDEX(Categorie,MATCH($A676,emprunts!$A$2:$A$149,0)))</f>
        <v>Non_st</v>
      </c>
      <c r="H676">
        <v>2012</v>
      </c>
      <c r="I676">
        <f t="shared" si="121"/>
        <v>1</v>
      </c>
      <c r="N676" s="14"/>
      <c r="O676" s="58">
        <v>464315</v>
      </c>
      <c r="P676" s="4">
        <v>1.477E-2</v>
      </c>
      <c r="Q676" s="14">
        <v>6877.86</v>
      </c>
      <c r="R676" s="14">
        <v>464314.98</v>
      </c>
      <c r="S676" s="14"/>
      <c r="T676" s="14">
        <v>0</v>
      </c>
      <c r="U676" s="14">
        <f>SUM(Q676:S676)</f>
        <v>471192.83999999997</v>
      </c>
      <c r="V676" s="14">
        <f t="shared" si="124"/>
        <v>0</v>
      </c>
      <c r="X676" s="85">
        <f t="shared" si="122"/>
        <v>0</v>
      </c>
      <c r="Y676" s="21" t="str">
        <f t="shared" si="120"/>
        <v/>
      </c>
      <c r="AA676" s="55">
        <f t="shared" si="115"/>
        <v>-7317.6800000000012</v>
      </c>
      <c r="AB676" s="55">
        <f t="shared" si="116"/>
        <v>10827.979999999981</v>
      </c>
      <c r="AC676" s="55">
        <f t="shared" si="123"/>
        <v>696472.49</v>
      </c>
    </row>
    <row r="677" spans="1:29">
      <c r="A677" t="s">
        <v>204</v>
      </c>
      <c r="B677" s="16" t="str">
        <f>INDEX(emprunts!C:C,MATCH($A677,emprunts!A:A,0))</f>
        <v>Crédit Agricole</v>
      </c>
      <c r="C677" s="18">
        <f>INDEX(emprunts!M:M,MATCH($A677,emprunts!$A:$A,0))</f>
        <v>38782</v>
      </c>
      <c r="D677" s="18">
        <f>IF(INDEX(emprunts!O:O,MATCH($A677,emprunts!$A:$A,0))="",INDEX(emprunts!N:N,MATCH($A677,emprunts!$A:$A,0)),MIN(INDEX(emprunts!N:N,MATCH($A677,emprunts!$A:$A,0)),INDEX(emprunts!O:O,MATCH($A677,emprunts!$A:$A,0))))</f>
        <v>44257</v>
      </c>
      <c r="E677" s="52">
        <f>INDEX(emprunts!I:I,MATCH($A677,emprunts!$A:$A,0))</f>
        <v>15</v>
      </c>
      <c r="F677" s="18" t="str">
        <f>INDEX(emprunts!P:P,MATCH($A677,emprunts!$A:$A,0))</f>
        <v>Barrière</v>
      </c>
      <c r="G677" s="126" t="str">
        <f>IF(LEFT(A677,3)="vx_","vx",INDEX(Categorie,MATCH($A677,emprunts!$A$2:$A$149,0)))</f>
        <v>Struct</v>
      </c>
      <c r="H677">
        <v>2012</v>
      </c>
      <c r="I677">
        <f t="shared" si="121"/>
        <v>1</v>
      </c>
      <c r="N677" s="14"/>
      <c r="O677" s="58"/>
      <c r="Q677" s="14"/>
      <c r="R677" s="14"/>
      <c r="S677" s="14"/>
      <c r="T677" s="14"/>
      <c r="U677" s="14"/>
      <c r="V677" s="14" t="str">
        <f t="shared" si="124"/>
        <v/>
      </c>
      <c r="X677" s="85">
        <f t="shared" si="122"/>
        <v>0</v>
      </c>
      <c r="Y677" s="21" t="str">
        <f t="shared" si="120"/>
        <v/>
      </c>
      <c r="AA677" s="55">
        <f t="shared" si="115"/>
        <v>0</v>
      </c>
      <c r="AB677" s="55">
        <f t="shared" si="116"/>
        <v>0</v>
      </c>
      <c r="AC677" s="55">
        <f t="shared" si="123"/>
        <v>0</v>
      </c>
    </row>
    <row r="678" spans="1:29">
      <c r="A678" t="s">
        <v>207</v>
      </c>
      <c r="B678" s="16" t="str">
        <f>INDEX(emprunts!C:C,MATCH($A678,emprunts!A:A,0))</f>
        <v>Crédit Agricole</v>
      </c>
      <c r="C678" s="18">
        <f>INDEX(emprunts!M:M,MATCH($A678,emprunts!$A:$A,0))</f>
        <v>38782</v>
      </c>
      <c r="D678" s="18">
        <f>IF(INDEX(emprunts!O:O,MATCH($A678,emprunts!$A:$A,0))="",INDEX(emprunts!N:N,MATCH($A678,emprunts!$A:$A,0)),MIN(INDEX(emprunts!N:N,MATCH($A678,emprunts!$A:$A,0)),INDEX(emprunts!O:O,MATCH($A678,emprunts!$A:$A,0))))</f>
        <v>44261</v>
      </c>
      <c r="E678" s="52">
        <f>INDEX(emprunts!I:I,MATCH($A678,emprunts!$A:$A,0))</f>
        <v>15</v>
      </c>
      <c r="F678" s="18" t="str">
        <f>INDEX(emprunts!P:P,MATCH($A678,emprunts!$A:$A,0))</f>
        <v>Fixe</v>
      </c>
      <c r="G678" s="126" t="str">
        <f>IF(LEFT(A678,3)="vx_","vx",INDEX(Categorie,MATCH($A678,emprunts!$A$2:$A$149,0)))</f>
        <v>Non_st</v>
      </c>
      <c r="H678">
        <v>2012</v>
      </c>
      <c r="I678">
        <f t="shared" si="121"/>
        <v>1</v>
      </c>
      <c r="N678" s="14"/>
      <c r="O678" s="58">
        <v>3312589</v>
      </c>
      <c r="P678" s="4">
        <v>3.1820000000000001E-2</v>
      </c>
      <c r="Q678" s="14">
        <v>106803.39</v>
      </c>
      <c r="R678" s="14">
        <v>317922.78000000003</v>
      </c>
      <c r="S678" s="14"/>
      <c r="T678" s="14">
        <v>89101.57</v>
      </c>
      <c r="U678" s="14">
        <f>SUM(Q678:S678)</f>
        <v>424726.17000000004</v>
      </c>
      <c r="V678" s="14">
        <f t="shared" si="124"/>
        <v>0</v>
      </c>
      <c r="X678" s="85">
        <f t="shared" si="122"/>
        <v>0</v>
      </c>
      <c r="Y678" s="21">
        <f t="shared" si="120"/>
        <v>2.5495801603502007E-2</v>
      </c>
      <c r="AA678" s="55">
        <f t="shared" si="115"/>
        <v>88509.960000000021</v>
      </c>
      <c r="AB678" s="55">
        <f t="shared" si="116"/>
        <v>11106.780000000261</v>
      </c>
      <c r="AC678" s="55">
        <f t="shared" si="123"/>
        <v>3471550.39</v>
      </c>
    </row>
    <row r="679" spans="1:29">
      <c r="A679" t="s">
        <v>211</v>
      </c>
      <c r="B679" s="16" t="str">
        <f>INDEX(emprunts!C:C,MATCH($A679,emprunts!A:A,0))</f>
        <v>Dexia CL</v>
      </c>
      <c r="C679" s="18">
        <f>INDEX(emprunts!M:M,MATCH($A679,emprunts!$A:$A,0))</f>
        <v>38899</v>
      </c>
      <c r="D679" s="18">
        <f>IF(INDEX(emprunts!O:O,MATCH($A679,emprunts!$A:$A,0))="",INDEX(emprunts!N:N,MATCH($A679,emprunts!$A:$A,0)),MIN(INDEX(emprunts!N:N,MATCH($A679,emprunts!$A:$A,0)),INDEX(emprunts!O:O,MATCH($A679,emprunts!$A:$A,0))))</f>
        <v>40737</v>
      </c>
      <c r="E679" s="52">
        <f>INDEX(emprunts!I:I,MATCH($A679,emprunts!$A:$A,0))</f>
        <v>20</v>
      </c>
      <c r="F679" s="18" t="str">
        <f>INDEX(emprunts!P:P,MATCH($A679,emprunts!$A:$A,0))</f>
        <v>Change</v>
      </c>
      <c r="G679" s="126" t="str">
        <f>IF(LEFT(A679,3)="vx_","vx",INDEX(Categorie,MATCH($A679,emprunts!$A$2:$A$149,0)))</f>
        <v>Struct</v>
      </c>
      <c r="H679">
        <v>2012</v>
      </c>
      <c r="I679">
        <f t="shared" si="121"/>
        <v>1</v>
      </c>
      <c r="N679" s="14"/>
      <c r="O679" s="58"/>
      <c r="Q679" s="14"/>
      <c r="R679" s="14"/>
      <c r="S679" s="14"/>
      <c r="T679" s="14"/>
      <c r="U679" s="14"/>
      <c r="V679" s="14" t="str">
        <f t="shared" si="124"/>
        <v/>
      </c>
      <c r="X679" s="85">
        <f t="shared" si="122"/>
        <v>0</v>
      </c>
      <c r="Y679" s="21" t="str">
        <f t="shared" ref="Y679:Y730" si="125">IF(AND(AA679&gt;0,YEAR(C679)&lt;=H679),AA679/AC679,"")</f>
        <v/>
      </c>
      <c r="AA679" s="55">
        <f t="shared" si="115"/>
        <v>0</v>
      </c>
      <c r="AB679" s="55">
        <f t="shared" si="116"/>
        <v>0</v>
      </c>
      <c r="AC679" s="55">
        <f t="shared" si="123"/>
        <v>0</v>
      </c>
    </row>
    <row r="680" spans="1:29">
      <c r="A680" t="s">
        <v>223</v>
      </c>
      <c r="B680" s="16" t="str">
        <f>INDEX(emprunts!C:C,MATCH($A680,emprunts!A:A,0))</f>
        <v>Crédit Agricole</v>
      </c>
      <c r="C680" s="18">
        <f>INDEX(emprunts!M:M,MATCH($A680,emprunts!$A:$A,0))</f>
        <v>39182</v>
      </c>
      <c r="D680" s="18">
        <f>IF(INDEX(emprunts!O:O,MATCH($A680,emprunts!$A:$A,0))="",INDEX(emprunts!N:N,MATCH($A680,emprunts!$A:$A,0)),MIN(INDEX(emprunts!N:N,MATCH($A680,emprunts!$A:$A,0)),INDEX(emprunts!O:O,MATCH($A680,emprunts!$A:$A,0))))</f>
        <v>46813</v>
      </c>
      <c r="E680" s="52">
        <f>INDEX(emprunts!I:I,MATCH($A680,emprunts!$A:$A,0))</f>
        <v>20</v>
      </c>
      <c r="F680" s="18" t="str">
        <f>INDEX(emprunts!P:P,MATCH($A680,emprunts!$A:$A,0))</f>
        <v>Pente</v>
      </c>
      <c r="G680" s="126" t="str">
        <f>IF(LEFT(A680,3)="vx_","vx",INDEX(Categorie,MATCH($A680,emprunts!$A$2:$A$149,0)))</f>
        <v>Struct</v>
      </c>
      <c r="H680">
        <v>2012</v>
      </c>
      <c r="I680">
        <f t="shared" si="121"/>
        <v>1</v>
      </c>
      <c r="N680" s="14"/>
      <c r="O680" s="58">
        <v>4167116</v>
      </c>
      <c r="P680" s="4">
        <v>3.5389999999999998E-2</v>
      </c>
      <c r="Q680" s="14">
        <v>145256.76999999999</v>
      </c>
      <c r="R680" s="14">
        <v>197961.45</v>
      </c>
      <c r="S680" s="14"/>
      <c r="T680" s="14">
        <v>11576.7</v>
      </c>
      <c r="U680" s="14">
        <f>SUM(Q680:S680)</f>
        <v>343218.22</v>
      </c>
      <c r="V680" s="14">
        <f t="shared" si="124"/>
        <v>0</v>
      </c>
      <c r="X680" s="85">
        <f t="shared" si="122"/>
        <v>0</v>
      </c>
      <c r="Y680" s="21">
        <f t="shared" si="125"/>
        <v>3.1073245297784477E-2</v>
      </c>
      <c r="AA680" s="55">
        <f t="shared" si="115"/>
        <v>132561.47</v>
      </c>
      <c r="AB680" s="55">
        <f t="shared" si="116"/>
        <v>8288.4500000001863</v>
      </c>
      <c r="AC680" s="55">
        <f t="shared" si="123"/>
        <v>4266096.7249999996</v>
      </c>
    </row>
    <row r="681" spans="1:29">
      <c r="A681" t="s">
        <v>235</v>
      </c>
      <c r="B681" s="16" t="str">
        <f>INDEX(emprunts!C:C,MATCH($A681,emprunts!A:A,0))</f>
        <v>Caisse d'Épargne</v>
      </c>
      <c r="C681" s="18">
        <f>INDEX(emprunts!M:M,MATCH($A681,emprunts!$A:$A,0))</f>
        <v>39288</v>
      </c>
      <c r="D681" s="18">
        <f>IF(INDEX(emprunts!O:O,MATCH($A681,emprunts!$A:$A,0))="",INDEX(emprunts!N:N,MATCH($A681,emprunts!$A:$A,0)),MIN(INDEX(emprunts!N:N,MATCH($A681,emprunts!$A:$A,0)),INDEX(emprunts!O:O,MATCH($A681,emprunts!$A:$A,0))))</f>
        <v>40964</v>
      </c>
      <c r="E681" s="52">
        <f>INDEX(emprunts!I:I,MATCH($A681,emprunts!$A:$A,0))</f>
        <v>18.579999999999998</v>
      </c>
      <c r="F681" s="18" t="str">
        <f>INDEX(emprunts!P:P,MATCH($A681,emprunts!$A:$A,0))</f>
        <v>Courbes</v>
      </c>
      <c r="G681" s="126" t="str">
        <f>IF(LEFT(A681,3)="vx_","vx",INDEX(Categorie,MATCH($A681,emprunts!$A$2:$A$149,0)))</f>
        <v>Struct</v>
      </c>
      <c r="H681">
        <v>2012</v>
      </c>
      <c r="I681">
        <f t="shared" si="121"/>
        <v>1</v>
      </c>
      <c r="N681" s="14"/>
      <c r="O681" s="58"/>
      <c r="Q681" s="14"/>
      <c r="R681" s="14"/>
      <c r="S681" s="14"/>
      <c r="T681" s="14"/>
      <c r="U681" s="14"/>
      <c r="V681" s="14" t="str">
        <f t="shared" si="124"/>
        <v/>
      </c>
      <c r="X681" s="85">
        <f t="shared" si="122"/>
        <v>12135477.720000001</v>
      </c>
      <c r="Y681" s="21" t="str">
        <f t="shared" si="125"/>
        <v/>
      </c>
      <c r="AA681" s="55">
        <f t="shared" si="115"/>
        <v>-226794</v>
      </c>
      <c r="AB681" s="55">
        <f t="shared" si="116"/>
        <v>19243.720000000671</v>
      </c>
      <c r="AC681" s="55">
        <f t="shared" si="123"/>
        <v>1828633.629041096</v>
      </c>
    </row>
    <row r="682" spans="1:29">
      <c r="A682" t="s">
        <v>239</v>
      </c>
      <c r="B682" s="16" t="str">
        <f>INDEX(emprunts!C:C,MATCH($A682,emprunts!A:A,0))</f>
        <v>Dexia CL</v>
      </c>
      <c r="C682" s="18">
        <f>INDEX(emprunts!M:M,MATCH($A682,emprunts!$A:$A,0))</f>
        <v>39324</v>
      </c>
      <c r="D682" s="18">
        <f>IF(INDEX(emprunts!O:O,MATCH($A682,emprunts!$A:$A,0))="",INDEX(emprunts!N:N,MATCH($A682,emprunts!$A:$A,0)),MIN(INDEX(emprunts!N:N,MATCH($A682,emprunts!$A:$A,0)),INDEX(emprunts!O:O,MATCH($A682,emprunts!$A:$A,0))))</f>
        <v>40634</v>
      </c>
      <c r="E682" s="52">
        <f>INDEX(emprunts!I:I,MATCH($A682,emprunts!$A:$A,0))</f>
        <v>25</v>
      </c>
      <c r="F682" s="18" t="str">
        <f>INDEX(emprunts!P:P,MATCH($A682,emprunts!$A:$A,0))</f>
        <v>Courbes</v>
      </c>
      <c r="G682" s="126" t="str">
        <f>IF(LEFT(A682,3)="vx_","vx",INDEX(Categorie,MATCH($A682,emprunts!$A$2:$A$149,0)))</f>
        <v>Struct</v>
      </c>
      <c r="H682">
        <v>2012</v>
      </c>
      <c r="I682">
        <f t="shared" si="121"/>
        <v>1</v>
      </c>
      <c r="N682" s="14"/>
      <c r="O682" s="58"/>
      <c r="Q682" s="14"/>
      <c r="R682" s="14"/>
      <c r="S682" s="14"/>
      <c r="T682" s="14"/>
      <c r="U682" s="14"/>
      <c r="V682" s="14" t="str">
        <f t="shared" si="124"/>
        <v/>
      </c>
      <c r="X682" s="85">
        <f t="shared" si="122"/>
        <v>0</v>
      </c>
      <c r="Y682" s="21" t="str">
        <f t="shared" si="125"/>
        <v/>
      </c>
      <c r="AA682" s="55">
        <f t="shared" si="115"/>
        <v>0</v>
      </c>
      <c r="AB682" s="55">
        <f t="shared" si="116"/>
        <v>0</v>
      </c>
      <c r="AC682" s="55">
        <f t="shared" si="123"/>
        <v>0</v>
      </c>
    </row>
    <row r="683" spans="1:29">
      <c r="A683" t="s">
        <v>250</v>
      </c>
      <c r="B683" s="16" t="str">
        <f>INDEX(emprunts!C:C,MATCH($A683,emprunts!A:A,0))</f>
        <v>Caisse d'Épargne</v>
      </c>
      <c r="C683" s="18">
        <f>INDEX(emprunts!M:M,MATCH($A683,emprunts!$A:$A,0))</f>
        <v>39447</v>
      </c>
      <c r="D683" s="18">
        <f>IF(INDEX(emprunts!O:O,MATCH($A683,emprunts!$A:$A,0))="",INDEX(emprunts!N:N,MATCH($A683,emprunts!$A:$A,0)),MIN(INDEX(emprunts!N:N,MATCH($A683,emprunts!$A:$A,0)),INDEX(emprunts!O:O,MATCH($A683,emprunts!$A:$A,0))))</f>
        <v>41330</v>
      </c>
      <c r="E683" s="52">
        <f>INDEX(emprunts!I:I,MATCH($A683,emprunts!$A:$A,0))</f>
        <v>20</v>
      </c>
      <c r="F683" s="18" t="str">
        <f>INDEX(emprunts!P:P,MATCH($A683,emprunts!$A:$A,0))</f>
        <v>Courbes</v>
      </c>
      <c r="G683" s="126" t="str">
        <f>IF(LEFT(A683,3)="vx_","vx",INDEX(Categorie,MATCH($A683,emprunts!$A$2:$A$149,0)))</f>
        <v>Struct</v>
      </c>
      <c r="H683">
        <v>2012</v>
      </c>
      <c r="I683">
        <f t="shared" si="121"/>
        <v>1</v>
      </c>
      <c r="N683" s="14"/>
      <c r="O683" s="58">
        <v>4254775</v>
      </c>
      <c r="P683" s="74">
        <v>9.7210000000000005E-2</v>
      </c>
      <c r="Q683" s="14">
        <v>99277.63</v>
      </c>
      <c r="R683" s="14">
        <v>196027.29</v>
      </c>
      <c r="S683" s="14"/>
      <c r="T683" s="14">
        <v>382565.68</v>
      </c>
      <c r="U683" s="14">
        <f>SUM(Q683:S683)</f>
        <v>295304.92000000004</v>
      </c>
      <c r="V683" s="14">
        <f t="shared" si="124"/>
        <v>0</v>
      </c>
      <c r="X683" s="85">
        <f t="shared" si="122"/>
        <v>0</v>
      </c>
      <c r="Y683" s="21">
        <f t="shared" si="125"/>
        <v>9.1389300616961155E-2</v>
      </c>
      <c r="Z683" t="s">
        <v>683</v>
      </c>
      <c r="AA683" s="55">
        <f t="shared" si="115"/>
        <v>397798.31</v>
      </c>
      <c r="AB683" s="55">
        <f t="shared" si="116"/>
        <v>-0.7099999999627471</v>
      </c>
      <c r="AC683" s="55">
        <f t="shared" si="123"/>
        <v>4352788.6449999996</v>
      </c>
    </row>
    <row r="684" spans="1:29">
      <c r="A684" t="s">
        <v>251</v>
      </c>
      <c r="B684" s="16" t="str">
        <f>INDEX(emprunts!C:C,MATCH($A684,emprunts!A:A,0))</f>
        <v>Dexia CL</v>
      </c>
      <c r="C684" s="18">
        <f>INDEX(emprunts!M:M,MATCH($A684,emprunts!$A:$A,0))</f>
        <v>40148</v>
      </c>
      <c r="D684" s="18">
        <f>IF(INDEX(emprunts!O:O,MATCH($A684,emprunts!$A:$A,0))="",INDEX(emprunts!N:N,MATCH($A684,emprunts!$A:$A,0)),MIN(INDEX(emprunts!N:N,MATCH($A684,emprunts!$A:$A,0)),INDEX(emprunts!O:O,MATCH($A684,emprunts!$A:$A,0))))</f>
        <v>41030</v>
      </c>
      <c r="E684" s="52">
        <f>INDEX(emprunts!I:I,MATCH($A684,emprunts!$A:$A,0))</f>
        <v>20.83</v>
      </c>
      <c r="F684" s="18" t="str">
        <f>INDEX(emprunts!P:P,MATCH($A684,emprunts!$A:$A,0))</f>
        <v>Change</v>
      </c>
      <c r="G684" s="126" t="str">
        <f>IF(LEFT(A684,3)="vx_","vx",INDEX(Categorie,MATCH($A684,emprunts!$A$2:$A$149,0)))</f>
        <v>Struct</v>
      </c>
      <c r="H684">
        <v>2012</v>
      </c>
      <c r="I684">
        <f t="shared" si="121"/>
        <v>1</v>
      </c>
      <c r="N684" s="14"/>
      <c r="O684" s="58">
        <v>0</v>
      </c>
      <c r="Q684" s="14">
        <v>738060.65</v>
      </c>
      <c r="R684" s="14">
        <v>450726.16</v>
      </c>
      <c r="S684" s="14"/>
      <c r="T684" s="14">
        <v>476797.37</v>
      </c>
      <c r="U684" s="14">
        <f>SUM(Q684:S684)</f>
        <v>1188786.81</v>
      </c>
      <c r="V684" s="14">
        <f t="shared" si="124"/>
        <v>0</v>
      </c>
      <c r="X684" s="85">
        <f t="shared" si="122"/>
        <v>14098000</v>
      </c>
      <c r="Y684" s="21">
        <f t="shared" si="125"/>
        <v>0.16515991864333407</v>
      </c>
      <c r="Z684" t="s">
        <v>651</v>
      </c>
      <c r="AA684" s="55">
        <f t="shared" si="115"/>
        <v>784227.67999999993</v>
      </c>
      <c r="AB684" s="55">
        <f t="shared" si="116"/>
        <v>404.16000000014901</v>
      </c>
      <c r="AC684" s="55">
        <f t="shared" si="123"/>
        <v>4748292.966246576</v>
      </c>
    </row>
    <row r="685" spans="1:29">
      <c r="A685" t="s">
        <v>255</v>
      </c>
      <c r="B685" s="16" t="str">
        <f>INDEX(emprunts!C:C,MATCH($A685,emprunts!A:A,0))</f>
        <v>Dexia CL</v>
      </c>
      <c r="C685" s="18">
        <f>INDEX(emprunts!M:M,MATCH($A685,emprunts!$A:$A,0))</f>
        <v>39668</v>
      </c>
      <c r="D685" s="18">
        <f>IF(INDEX(emprunts!O:O,MATCH($A685,emprunts!$A:$A,0))="",INDEX(emprunts!N:N,MATCH($A685,emprunts!$A:$A,0)),MIN(INDEX(emprunts!N:N,MATCH($A685,emprunts!$A:$A,0)),INDEX(emprunts!O:O,MATCH($A685,emprunts!$A:$A,0))))</f>
        <v>40848</v>
      </c>
      <c r="E685" s="52">
        <f>INDEX(emprunts!I:I,MATCH($A685,emprunts!$A:$A,0))</f>
        <v>25.33</v>
      </c>
      <c r="F685" s="18" t="str">
        <f>INDEX(emprunts!P:P,MATCH($A685,emprunts!$A:$A,0))</f>
        <v>Change</v>
      </c>
      <c r="G685" s="126" t="str">
        <f>IF(LEFT(A685,3)="vx_","vx",INDEX(Categorie,MATCH($A685,emprunts!$A$2:$A$149,0)))</f>
        <v>Struct</v>
      </c>
      <c r="H685">
        <v>2012</v>
      </c>
      <c r="I685">
        <f t="shared" si="121"/>
        <v>1</v>
      </c>
      <c r="N685" s="14"/>
      <c r="O685" s="58"/>
      <c r="Q685" s="14"/>
      <c r="R685" s="14"/>
      <c r="S685" s="14"/>
      <c r="T685" s="14"/>
      <c r="U685" s="14"/>
      <c r="V685" s="14" t="str">
        <f t="shared" si="124"/>
        <v/>
      </c>
      <c r="X685" s="85">
        <f t="shared" si="122"/>
        <v>0</v>
      </c>
      <c r="Y685" s="21" t="str">
        <f t="shared" si="125"/>
        <v/>
      </c>
      <c r="AA685" s="55">
        <f t="shared" si="115"/>
        <v>0</v>
      </c>
      <c r="AB685" s="55">
        <f t="shared" si="116"/>
        <v>0</v>
      </c>
      <c r="AC685" s="55">
        <f t="shared" si="123"/>
        <v>0</v>
      </c>
    </row>
    <row r="686" spans="1:29">
      <c r="A686" t="s">
        <v>256</v>
      </c>
      <c r="B686" s="16" t="str">
        <f>INDEX(emprunts!C:C,MATCH($A686,emprunts!A:A,0))</f>
        <v>Dexia CL</v>
      </c>
      <c r="C686" s="18">
        <f>INDEX(emprunts!M:M,MATCH($A686,emprunts!$A:$A,0))</f>
        <v>39668</v>
      </c>
      <c r="D686" s="18">
        <f>IF(INDEX(emprunts!O:O,MATCH($A686,emprunts!$A:$A,0))="",INDEX(emprunts!N:N,MATCH($A686,emprunts!$A:$A,0)),MIN(INDEX(emprunts!N:N,MATCH($A686,emprunts!$A:$A,0)),INDEX(emprunts!O:O,MATCH($A686,emprunts!$A:$A,0))))</f>
        <v>41214</v>
      </c>
      <c r="E686" s="52">
        <f>INDEX(emprunts!I:I,MATCH($A686,emprunts!$A:$A,0))</f>
        <v>25.33</v>
      </c>
      <c r="F686" s="18" t="str">
        <f>INDEX(emprunts!P:P,MATCH($A686,emprunts!$A:$A,0))</f>
        <v>Change</v>
      </c>
      <c r="G686" s="126" t="str">
        <f>IF(LEFT(A686,3)="vx_","vx",INDEX(Categorie,MATCH($A686,emprunts!$A$2:$A$149,0)))</f>
        <v>Struct</v>
      </c>
      <c r="H686">
        <v>2012</v>
      </c>
      <c r="I686">
        <f t="shared" si="121"/>
        <v>1</v>
      </c>
      <c r="N686" s="14"/>
      <c r="O686" s="58">
        <v>0</v>
      </c>
      <c r="Q686" s="14">
        <v>337445.89</v>
      </c>
      <c r="R686" s="14">
        <v>452789.81</v>
      </c>
      <c r="S686" s="14"/>
      <c r="T686" s="14">
        <v>52609.81</v>
      </c>
      <c r="U686" s="14">
        <f>SUM(Q686:S686)</f>
        <v>790235.7</v>
      </c>
      <c r="V686" s="14">
        <f t="shared" si="124"/>
        <v>0</v>
      </c>
      <c r="X686" s="85">
        <f t="shared" si="122"/>
        <v>8792725.3100000005</v>
      </c>
      <c r="Y686" s="21">
        <f t="shared" si="125"/>
        <v>4.4797028474020312E-2</v>
      </c>
      <c r="AA686" s="55">
        <f t="shared" si="115"/>
        <v>337613.93</v>
      </c>
      <c r="AB686" s="55">
        <f t="shared" si="116"/>
        <v>0.12000000104308128</v>
      </c>
      <c r="AC686" s="55">
        <f t="shared" si="123"/>
        <v>7536525.1111643836</v>
      </c>
    </row>
    <row r="687" spans="1:29">
      <c r="A687" t="s">
        <v>257</v>
      </c>
      <c r="B687" s="16" t="str">
        <f>INDEX(emprunts!C:C,MATCH($A687,emprunts!A:A,0))</f>
        <v>Dexia CL</v>
      </c>
      <c r="C687" s="18">
        <f>INDEX(emprunts!M:M,MATCH($A687,emprunts!$A:$A,0))</f>
        <v>41214</v>
      </c>
      <c r="D687" s="18">
        <f>IF(INDEX(emprunts!O:O,MATCH($A687,emprunts!$A:$A,0))="",INDEX(emprunts!N:N,MATCH($A687,emprunts!$A:$A,0)),MIN(INDEX(emprunts!N:N,MATCH($A687,emprunts!$A:$A,0)),INDEX(emprunts!O:O,MATCH($A687,emprunts!$A:$A,0))))</f>
        <v>43040</v>
      </c>
      <c r="E687" s="52">
        <f>INDEX(emprunts!I:I,MATCH($A687,emprunts!$A:$A,0))</f>
        <v>25</v>
      </c>
      <c r="F687" s="18" t="str">
        <f>INDEX(emprunts!P:P,MATCH($A687,emprunts!$A:$A,0))</f>
        <v>Change</v>
      </c>
      <c r="G687" s="126" t="str">
        <f>IF(LEFT(A687,3)="vx_","vx",INDEX(Categorie,MATCH($A687,emprunts!$A$2:$A$149,0)))</f>
        <v>Struct</v>
      </c>
      <c r="H687">
        <v>2012</v>
      </c>
      <c r="I687">
        <f t="shared" si="121"/>
        <v>1</v>
      </c>
      <c r="N687" s="14"/>
      <c r="O687" s="58">
        <v>8792725</v>
      </c>
      <c r="P687" s="4">
        <v>3.909E-2</v>
      </c>
      <c r="Q687" s="14">
        <v>320042.99</v>
      </c>
      <c r="R687" s="14">
        <v>242162.08</v>
      </c>
      <c r="S687" s="14"/>
      <c r="T687" s="14">
        <v>75604.039999999994</v>
      </c>
      <c r="U687" s="14">
        <f>SUM(Q687:S687)</f>
        <v>562205.06999999995</v>
      </c>
      <c r="V687" s="14">
        <f t="shared" si="124"/>
        <v>0</v>
      </c>
      <c r="X687" s="85">
        <f t="shared" si="122"/>
        <v>0</v>
      </c>
      <c r="Y687" s="21">
        <f t="shared" si="125"/>
        <v>0.27001403833926518</v>
      </c>
      <c r="AA687" s="55">
        <f t="shared" si="115"/>
        <v>395647.02999999997</v>
      </c>
      <c r="AB687" s="55" t="str">
        <f t="shared" si="116"/>
        <v/>
      </c>
      <c r="AC687" s="55">
        <f t="shared" si="123"/>
        <v>1465283.1846575341</v>
      </c>
    </row>
    <row r="688" spans="1:29">
      <c r="A688" t="s">
        <v>263</v>
      </c>
      <c r="B688" s="16" t="str">
        <f>INDEX(emprunts!C:C,MATCH($A688,emprunts!A:A,0))</f>
        <v>Dexia CL</v>
      </c>
      <c r="C688" s="18">
        <f>INDEX(emprunts!M:M,MATCH($A688,emprunts!$A:$A,0))</f>
        <v>39783</v>
      </c>
      <c r="D688" s="18">
        <f>IF(INDEX(emprunts!O:O,MATCH($A688,emprunts!$A:$A,0))="",INDEX(emprunts!N:N,MATCH($A688,emprunts!$A:$A,0)),MIN(INDEX(emprunts!N:N,MATCH($A688,emprunts!$A:$A,0)),INDEX(emprunts!O:O,MATCH($A688,emprunts!$A:$A,0))))</f>
        <v>41244</v>
      </c>
      <c r="E688" s="52">
        <f>INDEX(emprunts!I:I,MATCH($A688,emprunts!$A:$A,0))</f>
        <v>25</v>
      </c>
      <c r="F688" s="18" t="str">
        <f>INDEX(emprunts!P:P,MATCH($A688,emprunts!$A:$A,0))</f>
        <v>Pente</v>
      </c>
      <c r="G688" s="126" t="str">
        <f>IF(LEFT(A688,3)="vx_","vx",INDEX(Categorie,MATCH($A688,emprunts!$A$2:$A$149,0)))</f>
        <v>Struct</v>
      </c>
      <c r="H688">
        <v>2012</v>
      </c>
      <c r="I688">
        <f t="shared" si="121"/>
        <v>1</v>
      </c>
      <c r="N688" s="14">
        <v>9000000</v>
      </c>
      <c r="O688" s="58">
        <v>0</v>
      </c>
      <c r="Q688" s="14">
        <v>161400.76999999999</v>
      </c>
      <c r="R688" s="14">
        <v>543416.63</v>
      </c>
      <c r="S688" s="14"/>
      <c r="T688" s="14">
        <v>35580.19</v>
      </c>
      <c r="U688" s="14">
        <f>SUM(Q688:S688)</f>
        <v>704817.4</v>
      </c>
      <c r="V688" s="14">
        <f t="shared" si="124"/>
        <v>0</v>
      </c>
      <c r="X688" s="85">
        <f t="shared" si="122"/>
        <v>6841000</v>
      </c>
      <c r="Y688" s="21">
        <f t="shared" si="125"/>
        <v>2.814776112843672E-2</v>
      </c>
      <c r="Z688" t="s">
        <v>684</v>
      </c>
      <c r="AA688" s="55">
        <f t="shared" si="115"/>
        <v>183751.46</v>
      </c>
      <c r="AB688" s="55">
        <f t="shared" si="116"/>
        <v>469.62999999988824</v>
      </c>
      <c r="AC688" s="55">
        <f t="shared" si="123"/>
        <v>6528102.1521232883</v>
      </c>
    </row>
    <row r="689" spans="1:29">
      <c r="A689" t="s">
        <v>265</v>
      </c>
      <c r="B689" s="16" t="str">
        <f>INDEX(emprunts!C:C,MATCH($A689,emprunts!A:A,0))</f>
        <v>Dexia CL</v>
      </c>
      <c r="C689" s="18">
        <f>INDEX(emprunts!M:M,MATCH($A689,emprunts!$A:$A,0))</f>
        <v>39899</v>
      </c>
      <c r="D689" s="18">
        <f>IF(INDEX(emprunts!O:O,MATCH($A689,emprunts!$A:$A,0))="",INDEX(emprunts!N:N,MATCH($A689,emprunts!$A:$A,0)),MIN(INDEX(emprunts!N:N,MATCH($A689,emprunts!$A:$A,0)),INDEX(emprunts!O:O,MATCH($A689,emprunts!$A:$A,0))))</f>
        <v>47209</v>
      </c>
      <c r="E689" s="52">
        <f>INDEX(emprunts!I:I,MATCH($A689,emprunts!$A:$A,0))</f>
        <v>20</v>
      </c>
      <c r="F689" s="18" t="str">
        <f>INDEX(emprunts!P:P,MATCH($A689,emprunts!$A:$A,0))</f>
        <v>Fixe</v>
      </c>
      <c r="G689" s="126" t="str">
        <f>IF(LEFT(A689,3)="vx_","vx",INDEX(Categorie,MATCH($A689,emprunts!$A$2:$A$149,0)))</f>
        <v>Non_st</v>
      </c>
      <c r="H689">
        <v>2012</v>
      </c>
      <c r="I689">
        <f t="shared" ref="I689:I747" si="126">1*(C689&lt;DATE(H689,12,31))</f>
        <v>1</v>
      </c>
      <c r="N689" s="14"/>
      <c r="O689" s="58">
        <v>5295739</v>
      </c>
      <c r="P689" s="4">
        <v>4.53E-2</v>
      </c>
      <c r="Q689" s="14">
        <v>236790.58</v>
      </c>
      <c r="R689" s="14">
        <v>222226.2</v>
      </c>
      <c r="S689" s="14"/>
      <c r="T689" s="14">
        <v>57454.71</v>
      </c>
      <c r="U689" s="14">
        <f>SUM(Q689:S689)</f>
        <v>459016.78</v>
      </c>
      <c r="V689" s="14">
        <f t="shared" si="124"/>
        <v>0</v>
      </c>
      <c r="X689" s="85">
        <f t="shared" ref="X689:X747" si="127">SUMPRODUCT((De=$A689)*(année_refi=$H689),Montant_transfere)</f>
        <v>0</v>
      </c>
      <c r="Y689" s="21">
        <f t="shared" si="125"/>
        <v>4.2884300460151292E-2</v>
      </c>
      <c r="AA689" s="55">
        <f t="shared" si="115"/>
        <v>231869.06999999998</v>
      </c>
      <c r="AB689" s="55">
        <f t="shared" si="116"/>
        <v>9683.2000000001863</v>
      </c>
      <c r="AC689" s="55">
        <f t="shared" si="123"/>
        <v>5406852.0999999996</v>
      </c>
    </row>
    <row r="690" spans="1:29">
      <c r="A690" t="s">
        <v>270</v>
      </c>
      <c r="B690" s="16" t="str">
        <f>INDEX(emprunts!C:C,MATCH($A690,emprunts!A:A,0))</f>
        <v>Dexia CL</v>
      </c>
      <c r="C690" s="18">
        <f>INDEX(emprunts!M:M,MATCH($A690,emprunts!$A:$A,0))</f>
        <v>40118</v>
      </c>
      <c r="D690" s="18">
        <f>IF(INDEX(emprunts!O:O,MATCH($A690,emprunts!$A:$A,0))="",INDEX(emprunts!N:N,MATCH($A690,emprunts!$A:$A,0)),MIN(INDEX(emprunts!N:N,MATCH($A690,emprunts!$A:$A,0)),INDEX(emprunts!O:O,MATCH($A690,emprunts!$A:$A,0))))</f>
        <v>43040</v>
      </c>
      <c r="E690" s="52">
        <f>INDEX(emprunts!I:I,MATCH($A690,emprunts!$A:$A,0))</f>
        <v>23</v>
      </c>
      <c r="F690" s="18" t="str">
        <f>INDEX(emprunts!P:P,MATCH($A690,emprunts!$A:$A,0))</f>
        <v>Pente</v>
      </c>
      <c r="G690" s="126" t="str">
        <f>IF(LEFT(A690,3)="vx_","vx",INDEX(Categorie,MATCH($A690,emprunts!$A$2:$A$149,0)))</f>
        <v>Struct</v>
      </c>
      <c r="H690">
        <v>2012</v>
      </c>
      <c r="I690">
        <f t="shared" si="126"/>
        <v>1</v>
      </c>
      <c r="N690" s="14"/>
      <c r="O690" s="58">
        <v>11773938</v>
      </c>
      <c r="P690" s="4">
        <v>3.7819999999999999E-2</v>
      </c>
      <c r="Q690" s="14">
        <v>446461.16</v>
      </c>
      <c r="R690" s="14">
        <v>342308.49</v>
      </c>
      <c r="S690" s="14"/>
      <c r="T690" s="14">
        <v>71257.16</v>
      </c>
      <c r="U690" s="14">
        <f>SUM(Q690:S690)</f>
        <v>788769.64999999991</v>
      </c>
      <c r="V690" s="14">
        <f t="shared" si="124"/>
        <v>0</v>
      </c>
      <c r="X690" s="85">
        <f t="shared" si="127"/>
        <v>0</v>
      </c>
      <c r="Y690" s="21">
        <f t="shared" si="125"/>
        <v>3.7011534187612292E-2</v>
      </c>
      <c r="AA690" s="55">
        <f t="shared" si="115"/>
        <v>442106.18999999994</v>
      </c>
      <c r="AB690" s="55">
        <f t="shared" si="116"/>
        <v>-14041.509999999776</v>
      </c>
      <c r="AC690" s="55">
        <f t="shared" si="123"/>
        <v>11945092.244999999</v>
      </c>
    </row>
    <row r="691" spans="1:29">
      <c r="A691" t="s">
        <v>272</v>
      </c>
      <c r="B691" s="16" t="str">
        <f>INDEX(emprunts!C:C,MATCH($A691,emprunts!A:A,0))</f>
        <v>Dexia CL</v>
      </c>
      <c r="C691" s="18">
        <f>INDEX(emprunts!M:M,MATCH($A691,emprunts!$A:$A,0))</f>
        <v>40133</v>
      </c>
      <c r="D691" s="18">
        <f>IF(INDEX(emprunts!O:O,MATCH($A691,emprunts!$A:$A,0))="",INDEX(emprunts!N:N,MATCH($A691,emprunts!$A:$A,0)),MIN(INDEX(emprunts!N:N,MATCH($A691,emprunts!$A:$A,0)),INDEX(emprunts!O:O,MATCH($A691,emprunts!$A:$A,0))))</f>
        <v>40878</v>
      </c>
      <c r="E691" s="52">
        <f>INDEX(emprunts!I:I,MATCH($A691,emprunts!$A:$A,0))</f>
        <v>25</v>
      </c>
      <c r="F691" s="18" t="str">
        <f>INDEX(emprunts!P:P,MATCH($A691,emprunts!$A:$A,0))</f>
        <v>Variable</v>
      </c>
      <c r="G691" s="126" t="str">
        <f>IF(LEFT(A691,3)="vx_","vx",INDEX(Categorie,MATCH($A691,emprunts!$A$2:$A$149,0)))</f>
        <v>Non_st</v>
      </c>
      <c r="H691">
        <v>2012</v>
      </c>
      <c r="I691">
        <f t="shared" si="126"/>
        <v>1</v>
      </c>
      <c r="N691" s="14"/>
      <c r="O691" s="58"/>
      <c r="Q691" s="14"/>
      <c r="R691" s="14"/>
      <c r="S691" s="14"/>
      <c r="T691" s="14"/>
      <c r="U691" s="14"/>
      <c r="V691" s="14" t="str">
        <f t="shared" si="124"/>
        <v/>
      </c>
      <c r="X691" s="85">
        <f t="shared" si="127"/>
        <v>0</v>
      </c>
      <c r="Y691" s="21" t="str">
        <f t="shared" si="125"/>
        <v/>
      </c>
      <c r="AA691" s="55">
        <f t="shared" si="115"/>
        <v>0</v>
      </c>
      <c r="AB691" s="55">
        <f t="shared" si="116"/>
        <v>0</v>
      </c>
      <c r="AC691" s="55">
        <f t="shared" si="123"/>
        <v>0</v>
      </c>
    </row>
    <row r="692" spans="1:29" ht="30">
      <c r="A692" t="s">
        <v>274</v>
      </c>
      <c r="B692" s="16" t="str">
        <f>INDEX(emprunts!C:C,MATCH($A692,emprunts!A:A,0))</f>
        <v>Caisse d'Épargne</v>
      </c>
      <c r="C692" s="18">
        <f>INDEX(emprunts!M:M,MATCH($A692,emprunts!$A:$A,0))</f>
        <v>40142</v>
      </c>
      <c r="D692" s="18">
        <f>IF(INDEX(emprunts!O:O,MATCH($A692,emprunts!$A:$A,0))="",INDEX(emprunts!N:N,MATCH($A692,emprunts!$A:$A,0)),MIN(INDEX(emprunts!N:N,MATCH($A692,emprunts!$A:$A,0)),INDEX(emprunts!O:O,MATCH($A692,emprunts!$A:$A,0))))</f>
        <v>46351</v>
      </c>
      <c r="E692" s="52">
        <f>INDEX(emprunts!I:I,MATCH($A692,emprunts!$A:$A,0))</f>
        <v>17</v>
      </c>
      <c r="F692" s="18" t="str">
        <f>INDEX(emprunts!P:P,MATCH($A692,emprunts!$A:$A,0))</f>
        <v>Fixe</v>
      </c>
      <c r="G692" s="126" t="str">
        <f>IF(LEFT(A692,3)="vx_","vx",INDEX(Categorie,MATCH($A692,emprunts!$A$2:$A$149,0)))</f>
        <v>Restr_sec</v>
      </c>
      <c r="H692">
        <v>2012</v>
      </c>
      <c r="I692">
        <f t="shared" si="126"/>
        <v>1</v>
      </c>
      <c r="N692" s="14"/>
      <c r="O692" s="58">
        <v>3840093</v>
      </c>
      <c r="P692" s="4">
        <v>4.752E-2</v>
      </c>
      <c r="Q692" s="14">
        <v>182991.12</v>
      </c>
      <c r="R692" s="14">
        <v>217236.88</v>
      </c>
      <c r="S692" s="14"/>
      <c r="T692" s="14">
        <v>17027.43</v>
      </c>
      <c r="U692" s="14">
        <f>SUM(Q692:S692)</f>
        <v>400228</v>
      </c>
      <c r="V692" s="14">
        <f t="shared" si="124"/>
        <v>0</v>
      </c>
      <c r="X692" s="85">
        <f t="shared" si="127"/>
        <v>0</v>
      </c>
      <c r="Y692" s="21">
        <f t="shared" si="125"/>
        <v>4.5833589703885784E-2</v>
      </c>
      <c r="AA692" s="55">
        <f t="shared" si="115"/>
        <v>180983.62</v>
      </c>
      <c r="AB692" s="55">
        <f t="shared" si="116"/>
        <v>7345.8799999998882</v>
      </c>
      <c r="AC692" s="55">
        <f t="shared" si="123"/>
        <v>3948711.44</v>
      </c>
    </row>
    <row r="693" spans="1:29">
      <c r="A693" t="s">
        <v>276</v>
      </c>
      <c r="B693" s="16" t="str">
        <f>INDEX(emprunts!C:C,MATCH($A693,emprunts!A:A,0))</f>
        <v>Arkea</v>
      </c>
      <c r="C693" s="18">
        <f>INDEX(emprunts!M:M,MATCH($A693,emprunts!$A:$A,0))</f>
        <v>40168</v>
      </c>
      <c r="D693" s="18">
        <f>IF(INDEX(emprunts!O:O,MATCH($A693,emprunts!$A:$A,0))="",INDEX(emprunts!N:N,MATCH($A693,emprunts!$A:$A,0)),MIN(INDEX(emprunts!N:N,MATCH($A693,emprunts!$A:$A,0)),INDEX(emprunts!O:O,MATCH($A693,emprunts!$A:$A,0))))</f>
        <v>47786</v>
      </c>
      <c r="E693" s="52">
        <f>INDEX(emprunts!I:I,MATCH($A693,emprunts!$A:$A,0))</f>
        <v>20</v>
      </c>
      <c r="F693" s="18" t="str">
        <f>INDEX(emprunts!P:P,MATCH($A693,emprunts!$A:$A,0))</f>
        <v>Variable</v>
      </c>
      <c r="G693" s="126" t="str">
        <f>IF(LEFT(A693,3)="vx_","vx",INDEX(Categorie,MATCH($A693,emprunts!$A$2:$A$149,0)))</f>
        <v>Non_st</v>
      </c>
      <c r="H693">
        <v>2012</v>
      </c>
      <c r="I693">
        <f t="shared" si="126"/>
        <v>1</v>
      </c>
      <c r="N693" s="14"/>
      <c r="O693" s="58">
        <v>9124585</v>
      </c>
      <c r="P693" s="4">
        <v>7.1300000000000001E-3</v>
      </c>
      <c r="Q693" s="14">
        <v>61564.97</v>
      </c>
      <c r="R693" s="14">
        <v>447255.9</v>
      </c>
      <c r="S693" s="14"/>
      <c r="T693" s="14">
        <v>11743.78</v>
      </c>
      <c r="U693" s="14">
        <f>SUM(Q693:S693)</f>
        <v>508820.87</v>
      </c>
      <c r="V693" s="14">
        <f t="shared" si="124"/>
        <v>0</v>
      </c>
      <c r="X693" s="85">
        <f t="shared" si="127"/>
        <v>0</v>
      </c>
      <c r="Y693" s="21">
        <f t="shared" si="125"/>
        <v>4.3423155010605535E-3</v>
      </c>
      <c r="AA693" s="55">
        <f t="shared" si="115"/>
        <v>40592.89</v>
      </c>
      <c r="AB693" s="55">
        <f t="shared" si="116"/>
        <v>6395.9000000003725</v>
      </c>
      <c r="AC693" s="55">
        <f t="shared" si="123"/>
        <v>9348212.9499999993</v>
      </c>
    </row>
    <row r="694" spans="1:29">
      <c r="A694" t="s">
        <v>284</v>
      </c>
      <c r="B694" s="16" t="str">
        <f>INDEX(emprunts!C:C,MATCH($A694,emprunts!A:A,0))</f>
        <v>Société Générale</v>
      </c>
      <c r="C694" s="18">
        <f>INDEX(emprunts!M:M,MATCH($A694,emprunts!$A:$A,0))</f>
        <v>40452</v>
      </c>
      <c r="D694" s="18">
        <f>IF(INDEX(emprunts!O:O,MATCH($A694,emprunts!$A:$A,0))="",INDEX(emprunts!N:N,MATCH($A694,emprunts!$A:$A,0)),MIN(INDEX(emprunts!N:N,MATCH($A694,emprunts!$A:$A,0)),INDEX(emprunts!O:O,MATCH($A694,emprunts!$A:$A,0))))</f>
        <v>41640</v>
      </c>
      <c r="E694" s="52">
        <f>INDEX(emprunts!I:I,MATCH($A694,emprunts!$A:$A,0))</f>
        <v>25</v>
      </c>
      <c r="F694" s="18" t="str">
        <f>INDEX(emprunts!P:P,MATCH($A694,emprunts!$A:$A,0))</f>
        <v>Barrière avec multiplicateur</v>
      </c>
      <c r="G694" s="126" t="str">
        <f>IF(LEFT(A694,3)="vx_","vx",INDEX(Categorie,MATCH($A694,emprunts!$A$2:$A$149,0)))</f>
        <v>Struct</v>
      </c>
      <c r="H694">
        <v>2012</v>
      </c>
      <c r="I694">
        <f t="shared" si="126"/>
        <v>1</v>
      </c>
      <c r="N694" s="14"/>
      <c r="O694" s="58">
        <v>4283607</v>
      </c>
      <c r="P694" s="4">
        <v>4.0340000000000001E-2</v>
      </c>
      <c r="Q694" s="14">
        <v>173764.5</v>
      </c>
      <c r="R694" s="14">
        <v>103392.66</v>
      </c>
      <c r="S694" s="14"/>
      <c r="T694" s="14">
        <v>168643.76</v>
      </c>
      <c r="U694" s="14">
        <f>SUM(Q694:S694)</f>
        <v>277157.16000000003</v>
      </c>
      <c r="V694" s="14">
        <f t="shared" si="124"/>
        <v>0</v>
      </c>
      <c r="X694" s="85">
        <f t="shared" si="127"/>
        <v>0</v>
      </c>
      <c r="Y694" s="21">
        <f t="shared" si="125"/>
        <v>3.8202796296608853E-2</v>
      </c>
      <c r="AA694" s="55">
        <f t="shared" si="115"/>
        <v>165620.71000000002</v>
      </c>
      <c r="AB694" s="55">
        <f t="shared" si="116"/>
        <v>4923.660000000149</v>
      </c>
      <c r="AC694" s="55">
        <f t="shared" si="123"/>
        <v>4335303.33</v>
      </c>
    </row>
    <row r="695" spans="1:29">
      <c r="A695" t="s">
        <v>286</v>
      </c>
      <c r="B695" s="16" t="str">
        <f>INDEX(emprunts!C:C,MATCH($A695,emprunts!A:A,0))</f>
        <v>Dexia CL</v>
      </c>
      <c r="C695" s="18">
        <f>INDEX(emprunts!M:M,MATCH($A695,emprunts!$A:$A,0))</f>
        <v>40179</v>
      </c>
      <c r="D695" s="18">
        <f>IF(INDEX(emprunts!O:O,MATCH($A695,emprunts!$A:$A,0))="",INDEX(emprunts!N:N,MATCH($A695,emprunts!$A:$A,0)),MIN(INDEX(emprunts!N:N,MATCH($A695,emprunts!$A:$A,0)),INDEX(emprunts!O:O,MATCH($A695,emprunts!$A:$A,0))))</f>
        <v>40848</v>
      </c>
      <c r="E695" s="52">
        <f>INDEX(emprunts!I:I,MATCH($A695,emprunts!$A:$A,0))</f>
        <v>23</v>
      </c>
      <c r="F695" s="18" t="str">
        <f>INDEX(emprunts!P:P,MATCH($A695,emprunts!$A:$A,0))</f>
        <v>Barrière avec multiplicateur</v>
      </c>
      <c r="G695" s="126" t="str">
        <f>IF(LEFT(A695,3)="vx_","vx",INDEX(Categorie,MATCH($A695,emprunts!$A$2:$A$149,0)))</f>
        <v>Struct</v>
      </c>
      <c r="H695">
        <v>2012</v>
      </c>
      <c r="I695">
        <f t="shared" si="126"/>
        <v>1</v>
      </c>
      <c r="N695" s="14"/>
      <c r="O695" s="58"/>
      <c r="Q695" s="14"/>
      <c r="R695" s="14"/>
      <c r="S695" s="14"/>
      <c r="T695" s="14"/>
      <c r="U695" s="14"/>
      <c r="V695" s="14" t="str">
        <f t="shared" si="124"/>
        <v/>
      </c>
      <c r="X695" s="85">
        <f t="shared" si="127"/>
        <v>0</v>
      </c>
      <c r="Y695" s="21" t="str">
        <f t="shared" si="125"/>
        <v/>
      </c>
      <c r="AA695" s="55">
        <f t="shared" si="115"/>
        <v>0</v>
      </c>
      <c r="AB695" s="55">
        <f t="shared" si="116"/>
        <v>0</v>
      </c>
      <c r="AC695" s="55">
        <f t="shared" si="123"/>
        <v>0</v>
      </c>
    </row>
    <row r="696" spans="1:29">
      <c r="A696" t="s">
        <v>288</v>
      </c>
      <c r="B696" s="16" t="str">
        <f>INDEX(emprunts!C:C,MATCH($A696,emprunts!A:A,0))</f>
        <v>Société Générale</v>
      </c>
      <c r="C696" s="18">
        <f>INDEX(emprunts!M:M,MATCH($A696,emprunts!$A:$A,0))</f>
        <v>40452</v>
      </c>
      <c r="D696" s="18">
        <f>IF(INDEX(emprunts!O:O,MATCH($A696,emprunts!$A:$A,0))="",INDEX(emprunts!N:N,MATCH($A696,emprunts!$A:$A,0)),MIN(INDEX(emprunts!N:N,MATCH($A696,emprunts!$A:$A,0)),INDEX(emprunts!O:O,MATCH($A696,emprunts!$A:$A,0))))</f>
        <v>41730</v>
      </c>
      <c r="E696" s="52">
        <f>INDEX(emprunts!I:I,MATCH($A696,emprunts!$A:$A,0))</f>
        <v>25</v>
      </c>
      <c r="F696" s="18" t="str">
        <f>INDEX(emprunts!P:P,MATCH($A696,emprunts!$A:$A,0))</f>
        <v>Barrière avec multiplicateur</v>
      </c>
      <c r="G696" s="126" t="str">
        <f>IF(LEFT(A696,3)="vx_","vx",INDEX(Categorie,MATCH($A696,emprunts!$A$2:$A$149,0)))</f>
        <v>Struct</v>
      </c>
      <c r="H696">
        <v>2012</v>
      </c>
      <c r="I696">
        <f t="shared" si="126"/>
        <v>1</v>
      </c>
      <c r="N696" s="14"/>
      <c r="O696" s="58">
        <v>3571214</v>
      </c>
      <c r="P696" s="4">
        <v>4.0340000000000001E-2</v>
      </c>
      <c r="Q696" s="14">
        <v>144470.48000000001</v>
      </c>
      <c r="R696" s="14">
        <v>86197.75</v>
      </c>
      <c r="S696" s="14"/>
      <c r="T696" s="14">
        <v>105834.13</v>
      </c>
      <c r="U696" s="14">
        <f>SUM(Q696:S696)</f>
        <v>230668.23</v>
      </c>
      <c r="V696" s="14">
        <f t="shared" si="124"/>
        <v>0</v>
      </c>
      <c r="X696" s="85">
        <f t="shared" si="127"/>
        <v>0</v>
      </c>
      <c r="Y696" s="21">
        <f t="shared" si="125"/>
        <v>3.8557746609028699E-2</v>
      </c>
      <c r="AA696" s="55">
        <f t="shared" si="115"/>
        <v>139359.76</v>
      </c>
      <c r="AB696" s="55">
        <f t="shared" si="116"/>
        <v>4104.75</v>
      </c>
      <c r="AC696" s="55">
        <f t="shared" si="123"/>
        <v>3614312.875</v>
      </c>
    </row>
    <row r="697" spans="1:29">
      <c r="A697" t="s">
        <v>289</v>
      </c>
      <c r="B697" s="16" t="str">
        <f>INDEX(emprunts!C:C,MATCH($A697,emprunts!A:A,0))</f>
        <v>Dexia CL</v>
      </c>
      <c r="C697" s="18">
        <f>INDEX(emprunts!M:M,MATCH($A697,emprunts!$A:$A,0))</f>
        <v>40299</v>
      </c>
      <c r="D697" s="18">
        <f>IF(INDEX(emprunts!O:O,MATCH($A697,emprunts!$A:$A,0))="",INDEX(emprunts!N:N,MATCH($A697,emprunts!$A:$A,0)),MIN(INDEX(emprunts!N:N,MATCH($A697,emprunts!$A:$A,0)),INDEX(emprunts!O:O,MATCH($A697,emprunts!$A:$A,0))))</f>
        <v>40737</v>
      </c>
      <c r="E697" s="52">
        <f>INDEX(emprunts!I:I,MATCH($A697,emprunts!$A:$A,0))</f>
        <v>19</v>
      </c>
      <c r="F697" s="18" t="str">
        <f>INDEX(emprunts!P:P,MATCH($A697,emprunts!$A:$A,0))</f>
        <v>Barrière avec multiplicateur</v>
      </c>
      <c r="G697" s="126" t="str">
        <f>IF(LEFT(A697,3)="vx_","vx",INDEX(Categorie,MATCH($A697,emprunts!$A$2:$A$149,0)))</f>
        <v>Struct</v>
      </c>
      <c r="H697">
        <v>2012</v>
      </c>
      <c r="I697">
        <f t="shared" si="126"/>
        <v>1</v>
      </c>
      <c r="N697" s="14"/>
      <c r="O697" s="58"/>
      <c r="Q697" s="14"/>
      <c r="R697" s="14"/>
      <c r="S697" s="14"/>
      <c r="T697" s="14"/>
      <c r="U697" s="14"/>
      <c r="V697" s="14" t="str">
        <f t="shared" si="124"/>
        <v/>
      </c>
      <c r="X697" s="85">
        <f t="shared" si="127"/>
        <v>0</v>
      </c>
      <c r="Y697" s="21" t="str">
        <f t="shared" si="125"/>
        <v/>
      </c>
      <c r="AA697" s="55">
        <f t="shared" si="115"/>
        <v>0</v>
      </c>
      <c r="AB697" s="55">
        <f t="shared" si="116"/>
        <v>0</v>
      </c>
      <c r="AC697" s="55">
        <f t="shared" si="123"/>
        <v>0</v>
      </c>
    </row>
    <row r="698" spans="1:29">
      <c r="A698" t="s">
        <v>300</v>
      </c>
      <c r="B698" s="16" t="str">
        <f>INDEX(emprunts!C:C,MATCH($A698,emprunts!A:A,0))</f>
        <v>Dexia CL</v>
      </c>
      <c r="C698" s="18">
        <f>INDEX(emprunts!M:M,MATCH($A698,emprunts!$A:$A,0))</f>
        <v>40452</v>
      </c>
      <c r="D698" s="18">
        <f>IF(INDEX(emprunts!O:O,MATCH($A698,emprunts!$A:$A,0))="",INDEX(emprunts!N:N,MATCH($A698,emprunts!$A:$A,0)),MIN(INDEX(emprunts!N:N,MATCH($A698,emprunts!$A:$A,0)),INDEX(emprunts!O:O,MATCH($A698,emprunts!$A:$A,0))))</f>
        <v>40664</v>
      </c>
      <c r="E698" s="52">
        <f>INDEX(emprunts!I:I,MATCH($A698,emprunts!$A:$A,0))</f>
        <v>12</v>
      </c>
      <c r="F698" s="18" t="str">
        <f>INDEX(emprunts!P:P,MATCH($A698,emprunts!$A:$A,0))</f>
        <v>Change</v>
      </c>
      <c r="G698" s="126" t="str">
        <f>IF(LEFT(A698,3)="vx_","vx",INDEX(Categorie,MATCH($A698,emprunts!$A$2:$A$149,0)))</f>
        <v>Struct</v>
      </c>
      <c r="H698">
        <v>2012</v>
      </c>
      <c r="I698">
        <f t="shared" si="126"/>
        <v>1</v>
      </c>
      <c r="N698" s="14"/>
      <c r="O698" s="58"/>
      <c r="Q698" s="14"/>
      <c r="R698" s="14"/>
      <c r="S698" s="14"/>
      <c r="T698" s="14"/>
      <c r="U698" s="14"/>
      <c r="V698" s="14" t="str">
        <f t="shared" si="124"/>
        <v/>
      </c>
      <c r="X698" s="85">
        <f t="shared" si="127"/>
        <v>0</v>
      </c>
      <c r="Y698" s="21" t="str">
        <f t="shared" si="125"/>
        <v/>
      </c>
      <c r="AA698" s="55">
        <f t="shared" si="115"/>
        <v>0</v>
      </c>
      <c r="AB698" s="55">
        <f t="shared" si="116"/>
        <v>0</v>
      </c>
      <c r="AC698" s="55">
        <f t="shared" ref="AC698:AC759" si="128">MAX(0,(C698-DATE(H698,1,1))/365)*0+MAX(0,MIN(1,(MIN(DATE(H698,12,31),D698)-MAX(DATE(H698,1,1),C698))/365))*(O698+X698+R698/2)</f>
        <v>0</v>
      </c>
    </row>
    <row r="699" spans="1:29">
      <c r="A699" t="s">
        <v>302</v>
      </c>
      <c r="B699" s="16" t="str">
        <f>INDEX(emprunts!C:C,MATCH($A699,emprunts!A:A,0))</f>
        <v>Dexia CL</v>
      </c>
      <c r="C699" s="18">
        <f>INDEX(emprunts!M:M,MATCH($A699,emprunts!$A:$A,0))</f>
        <v>40384</v>
      </c>
      <c r="D699" s="18">
        <f>IF(INDEX(emprunts!O:O,MATCH($A699,emprunts!$A:$A,0))="",INDEX(emprunts!N:N,MATCH($A699,emprunts!$A:$A,0)),MIN(INDEX(emprunts!N:N,MATCH($A699,emprunts!$A:$A,0)),INDEX(emprunts!O:O,MATCH($A699,emprunts!$A:$A,0))))</f>
        <v>45901</v>
      </c>
      <c r="E699" s="52">
        <f>INDEX(emprunts!I:I,MATCH($A699,emprunts!$A:$A,0))</f>
        <v>15</v>
      </c>
      <c r="F699" s="18" t="str">
        <f>INDEX(emprunts!P:P,MATCH($A699,emprunts!$A:$A,0))</f>
        <v>Fixe</v>
      </c>
      <c r="G699" s="126" t="str">
        <f>IF(LEFT(A699,3)="vx_","vx",INDEX(Categorie,MATCH($A699,emprunts!$A$2:$A$149,0)))</f>
        <v>Non_st</v>
      </c>
      <c r="H699">
        <v>2012</v>
      </c>
      <c r="I699">
        <f t="shared" si="126"/>
        <v>1</v>
      </c>
      <c r="N699" s="14"/>
      <c r="O699" s="58">
        <v>652220</v>
      </c>
      <c r="P699" s="4">
        <v>2.1340000000000001E-2</v>
      </c>
      <c r="Q699" s="14">
        <v>13598.09</v>
      </c>
      <c r="R699" s="14">
        <v>44987.99</v>
      </c>
      <c r="S699" s="14"/>
      <c r="T699" s="14">
        <v>1062.9000000000001</v>
      </c>
      <c r="U699" s="14">
        <f>SUM(Q699:S699)</f>
        <v>58586.080000000002</v>
      </c>
      <c r="V699" s="14">
        <f t="shared" si="124"/>
        <v>0</v>
      </c>
      <c r="X699" s="85">
        <f t="shared" si="127"/>
        <v>0</v>
      </c>
      <c r="Y699" s="21">
        <f t="shared" si="125"/>
        <v>2.0060307182452913E-2</v>
      </c>
      <c r="AA699" s="55">
        <f t="shared" ref="AA699:AA762" si="129">T699+Q699+S699-SUMPRODUCT(($A$123:$A$1367=$A699)*($H$123:$H$1367=$H699-1),$T$123:$T$1367)</f>
        <v>13534.97</v>
      </c>
      <c r="AB699" s="55">
        <f t="shared" ref="AB699:AB762" si="130">IF(YEAR(C699)=H699,"",O699+R699+X699-W699-SUMPRODUCT(($A$123:$A$1367=$A699)*($H$123:$H$1367=$H699-1),$O$123:$O$1367))</f>
        <v>949.98999999999069</v>
      </c>
      <c r="AC699" s="55">
        <f t="shared" si="128"/>
        <v>674713.995</v>
      </c>
    </row>
    <row r="700" spans="1:29" ht="30">
      <c r="A700" t="s">
        <v>304</v>
      </c>
      <c r="B700" s="16" t="str">
        <f>INDEX(emprunts!C:C,MATCH($A700,emprunts!A:A,0))</f>
        <v>Société Générale</v>
      </c>
      <c r="C700" s="18">
        <f>INDEX(emprunts!M:M,MATCH($A700,emprunts!$A:$A,0))</f>
        <v>40422</v>
      </c>
      <c r="D700" s="18">
        <f>IF(INDEX(emprunts!O:O,MATCH($A700,emprunts!$A:$A,0))="",INDEX(emprunts!N:N,MATCH($A700,emprunts!$A:$A,0)),MIN(INDEX(emprunts!N:N,MATCH($A700,emprunts!$A:$A,0)),INDEX(emprunts!O:O,MATCH($A700,emprunts!$A:$A,0))))</f>
        <v>47818</v>
      </c>
      <c r="E700" s="52">
        <f>INDEX(emprunts!I:I,MATCH($A700,emprunts!$A:$A,0))</f>
        <v>20</v>
      </c>
      <c r="F700" s="18" t="str">
        <f>INDEX(emprunts!P:P,MATCH($A700,emprunts!$A:$A,0))</f>
        <v>Fixe</v>
      </c>
      <c r="G700" s="126" t="str">
        <f>IF(LEFT(A700,3)="vx_","vx",INDEX(Categorie,MATCH($A700,emprunts!$A$2:$A$149,0)))</f>
        <v>Restr_sec</v>
      </c>
      <c r="H700">
        <v>2012</v>
      </c>
      <c r="I700">
        <f t="shared" si="126"/>
        <v>1</v>
      </c>
      <c r="N700" s="14"/>
      <c r="O700" s="58">
        <v>1679346</v>
      </c>
      <c r="P700" s="4">
        <v>4.3779999999999999E-2</v>
      </c>
      <c r="Q700" s="14">
        <v>73072.25</v>
      </c>
      <c r="R700" s="14">
        <v>59694.41</v>
      </c>
      <c r="S700" s="14"/>
      <c r="T700" s="14">
        <v>5844.24</v>
      </c>
      <c r="U700" s="14">
        <f>SUM(Q700:S700)</f>
        <v>132766.66</v>
      </c>
      <c r="V700" s="14">
        <f t="shared" si="124"/>
        <v>0</v>
      </c>
      <c r="X700" s="85">
        <f t="shared" si="127"/>
        <v>0</v>
      </c>
      <c r="Y700" s="21">
        <f t="shared" si="125"/>
        <v>4.2506435075606329E-2</v>
      </c>
      <c r="AA700" s="55">
        <f t="shared" si="129"/>
        <v>72651.710000000006</v>
      </c>
      <c r="AB700" s="55">
        <f t="shared" si="130"/>
        <v>2842.4099999999162</v>
      </c>
      <c r="AC700" s="55">
        <f t="shared" si="128"/>
        <v>1709193.2050000001</v>
      </c>
    </row>
    <row r="701" spans="1:29">
      <c r="A701" t="s">
        <v>306</v>
      </c>
      <c r="B701" s="16" t="str">
        <f>INDEX(emprunts!C:C,MATCH($A701,emprunts!A:A,0))</f>
        <v>Dexia CL</v>
      </c>
      <c r="C701" s="18">
        <f>INDEX(emprunts!M:M,MATCH($A701,emprunts!$A:$A,0))</f>
        <v>40452</v>
      </c>
      <c r="D701" s="18">
        <f>IF(INDEX(emprunts!O:O,MATCH($A701,emprunts!$A:$A,0))="",INDEX(emprunts!N:N,MATCH($A701,emprunts!$A:$A,0)),MIN(INDEX(emprunts!N:N,MATCH($A701,emprunts!$A:$A,0)),INDEX(emprunts!O:O,MATCH($A701,emprunts!$A:$A,0))))</f>
        <v>41030</v>
      </c>
      <c r="E701" s="52">
        <f>INDEX(emprunts!I:I,MATCH($A701,emprunts!$A:$A,0))</f>
        <v>15</v>
      </c>
      <c r="F701" s="18" t="str">
        <f>INDEX(emprunts!P:P,MATCH($A701,emprunts!$A:$A,0))</f>
        <v>Change</v>
      </c>
      <c r="G701" s="126" t="str">
        <f>IF(LEFT(A701,3)="vx_","vx",INDEX(Categorie,MATCH($A701,emprunts!$A$2:$A$149,0)))</f>
        <v>Struct</v>
      </c>
      <c r="H701">
        <v>2012</v>
      </c>
      <c r="I701">
        <f t="shared" si="126"/>
        <v>1</v>
      </c>
      <c r="N701" s="14"/>
      <c r="O701" s="58">
        <v>0</v>
      </c>
      <c r="Q701" s="58">
        <v>223283.24</v>
      </c>
      <c r="R701" s="58">
        <v>0</v>
      </c>
      <c r="S701" s="58"/>
      <c r="T701" s="58">
        <v>90085.06</v>
      </c>
      <c r="U701" s="58">
        <f t="shared" ref="U701" si="131">SUM(Q701:S701)</f>
        <v>223283.24</v>
      </c>
      <c r="V701" s="14">
        <f t="shared" si="124"/>
        <v>0</v>
      </c>
      <c r="X701" s="85">
        <f t="shared" si="127"/>
        <v>9874000</v>
      </c>
      <c r="Y701" s="21">
        <f t="shared" si="125"/>
        <v>7.0418130468698992E-2</v>
      </c>
      <c r="Z701" t="s">
        <v>688</v>
      </c>
      <c r="AA701" s="55">
        <f t="shared" si="129"/>
        <v>230499.57</v>
      </c>
      <c r="AB701" s="55">
        <f t="shared" si="130"/>
        <v>-468</v>
      </c>
      <c r="AC701" s="55">
        <f t="shared" si="128"/>
        <v>3273298.6301369867</v>
      </c>
    </row>
    <row r="702" spans="1:29">
      <c r="A702" t="s">
        <v>311</v>
      </c>
      <c r="B702" s="16" t="str">
        <f>INDEX(emprunts!C:C,MATCH($A702,emprunts!A:A,0))</f>
        <v>Dexia CL</v>
      </c>
      <c r="C702" s="18">
        <f>INDEX(emprunts!M:M,MATCH($A702,emprunts!$A:$A,0))</f>
        <v>40513</v>
      </c>
      <c r="D702" s="18">
        <f>IF(INDEX(emprunts!O:O,MATCH($A702,emprunts!$A:$A,0))="",INDEX(emprunts!N:N,MATCH($A702,emprunts!$A:$A,0)),MIN(INDEX(emprunts!N:N,MATCH($A702,emprunts!$A:$A,0)),INDEX(emprunts!O:O,MATCH($A702,emprunts!$A:$A,0))))</f>
        <v>40878</v>
      </c>
      <c r="E702" s="52">
        <f>INDEX(emprunts!I:I,MATCH($A702,emprunts!$A:$A,0))</f>
        <v>17</v>
      </c>
      <c r="F702" s="18" t="str">
        <f>INDEX(emprunts!P:P,MATCH($A702,emprunts!$A:$A,0))</f>
        <v>Change</v>
      </c>
      <c r="G702" s="126" t="str">
        <f>IF(LEFT(A702,3)="vx_","vx",INDEX(Categorie,MATCH($A702,emprunts!$A$2:$A$149,0)))</f>
        <v>Struct</v>
      </c>
      <c r="H702">
        <v>2012</v>
      </c>
      <c r="I702">
        <f t="shared" si="126"/>
        <v>1</v>
      </c>
      <c r="N702" s="14"/>
      <c r="O702" s="58"/>
      <c r="Q702" s="14"/>
      <c r="R702" s="14"/>
      <c r="S702" s="14"/>
      <c r="T702" s="14"/>
      <c r="U702" s="14"/>
      <c r="V702" s="14" t="str">
        <f t="shared" si="124"/>
        <v/>
      </c>
      <c r="X702" s="85">
        <f t="shared" si="127"/>
        <v>0</v>
      </c>
      <c r="Y702" s="21" t="str">
        <f t="shared" si="125"/>
        <v/>
      </c>
      <c r="AA702" s="55">
        <f t="shared" si="129"/>
        <v>0</v>
      </c>
      <c r="AB702" s="55">
        <f t="shared" si="130"/>
        <v>0</v>
      </c>
      <c r="AC702" s="55">
        <f t="shared" si="128"/>
        <v>0</v>
      </c>
    </row>
    <row r="703" spans="1:29" ht="30">
      <c r="A703" t="s">
        <v>313</v>
      </c>
      <c r="B703" s="16" t="str">
        <f>INDEX(emprunts!C:C,MATCH($A703,emprunts!A:A,0))</f>
        <v>Société Générale</v>
      </c>
      <c r="C703" s="18">
        <f>INDEX(emprunts!M:M,MATCH($A703,emprunts!$A:$A,0))</f>
        <v>40513</v>
      </c>
      <c r="D703" s="18">
        <f>IF(INDEX(emprunts!O:O,MATCH($A703,emprunts!$A:$A,0))="",INDEX(emprunts!N:N,MATCH($A703,emprunts!$A:$A,0)),MIN(INDEX(emprunts!N:N,MATCH($A703,emprunts!$A:$A,0)),INDEX(emprunts!O:O,MATCH($A703,emprunts!$A:$A,0))))</f>
        <v>47818</v>
      </c>
      <c r="E703" s="52">
        <f>INDEX(emprunts!I:I,MATCH($A703,emprunts!$A:$A,0))</f>
        <v>20</v>
      </c>
      <c r="F703" s="18" t="str">
        <f>INDEX(emprunts!P:P,MATCH($A703,emprunts!$A:$A,0))</f>
        <v>Fixe</v>
      </c>
      <c r="G703" s="126" t="str">
        <f>IF(LEFT(A703,3)="vx_","vx",INDEX(Categorie,MATCH($A703,emprunts!$A$2:$A$149,0)))</f>
        <v>Restr_sec</v>
      </c>
      <c r="H703">
        <v>2012</v>
      </c>
      <c r="I703">
        <f t="shared" si="126"/>
        <v>1</v>
      </c>
      <c r="N703" s="14"/>
      <c r="O703" s="58">
        <v>2412720</v>
      </c>
      <c r="P703" s="4">
        <v>4.3779999999999999E-2</v>
      </c>
      <c r="Q703" s="14">
        <v>105921.81</v>
      </c>
      <c r="R703" s="14">
        <v>85783.08</v>
      </c>
      <c r="S703" s="14"/>
      <c r="T703" s="14">
        <v>8396.44</v>
      </c>
      <c r="U703" s="14">
        <f t="shared" ref="U703:U724" si="132">SUM(Q703:S703)</f>
        <v>191704.89</v>
      </c>
      <c r="V703" s="14">
        <f t="shared" si="124"/>
        <v>0</v>
      </c>
      <c r="X703" s="85">
        <f t="shared" si="127"/>
        <v>0</v>
      </c>
      <c r="Y703" s="21">
        <f t="shared" si="125"/>
        <v>4.2888807241881585E-2</v>
      </c>
      <c r="AA703" s="55">
        <f t="shared" si="129"/>
        <v>105318.25</v>
      </c>
      <c r="AB703" s="55">
        <f t="shared" si="130"/>
        <v>4104.0800000000745</v>
      </c>
      <c r="AC703" s="55">
        <f t="shared" si="128"/>
        <v>2455611.54</v>
      </c>
    </row>
    <row r="704" spans="1:29">
      <c r="A704" t="s">
        <v>314</v>
      </c>
      <c r="B704" s="16" t="str">
        <f>INDEX(emprunts!C:C,MATCH($A704,emprunts!A:A,0))</f>
        <v>Société Générale</v>
      </c>
      <c r="C704" s="18">
        <f>INDEX(emprunts!M:M,MATCH($A704,emprunts!$A:$A,0))</f>
        <v>40530</v>
      </c>
      <c r="D704" s="18">
        <f>IF(INDEX(emprunts!O:O,MATCH($A704,emprunts!$A:$A,0))="",INDEX(emprunts!N:N,MATCH($A704,emprunts!$A:$A,0)),MIN(INDEX(emprunts!N:N,MATCH($A704,emprunts!$A:$A,0)),INDEX(emprunts!O:O,MATCH($A704,emprunts!$A:$A,0))))</f>
        <v>46112</v>
      </c>
      <c r="E704" s="52">
        <f>INDEX(emprunts!I:I,MATCH($A704,emprunts!$A:$A,0))</f>
        <v>15</v>
      </c>
      <c r="F704" s="18" t="str">
        <f>INDEX(emprunts!P:P,MATCH($A704,emprunts!$A:$A,0))</f>
        <v>Variable</v>
      </c>
      <c r="G704" s="126" t="str">
        <f>IF(LEFT(A704,3)="vx_","vx",INDEX(Categorie,MATCH($A704,emprunts!$A$2:$A$149,0)))</f>
        <v>Non_st</v>
      </c>
      <c r="H704">
        <v>2012</v>
      </c>
      <c r="I704">
        <f t="shared" si="126"/>
        <v>1</v>
      </c>
      <c r="N704" s="14"/>
      <c r="O704" s="58">
        <v>7346540</v>
      </c>
      <c r="P704" s="4">
        <v>1.1259999999999999E-2</v>
      </c>
      <c r="Q704" s="14">
        <v>80851.61</v>
      </c>
      <c r="R704" s="14">
        <v>400055.48</v>
      </c>
      <c r="S704" s="14"/>
      <c r="T704" s="14">
        <v>0</v>
      </c>
      <c r="U704" s="14">
        <f t="shared" si="132"/>
        <v>480907.08999999997</v>
      </c>
      <c r="V704" s="14">
        <f t="shared" si="124"/>
        <v>0</v>
      </c>
      <c r="X704" s="85">
        <f t="shared" si="127"/>
        <v>0</v>
      </c>
      <c r="Y704" s="21">
        <f t="shared" si="125"/>
        <v>1.071369300396686E-2</v>
      </c>
      <c r="AA704" s="55">
        <f t="shared" si="129"/>
        <v>80851.61</v>
      </c>
      <c r="AB704" s="55">
        <f t="shared" si="130"/>
        <v>19623.480000000447</v>
      </c>
      <c r="AC704" s="55">
        <f t="shared" si="128"/>
        <v>7546567.7400000002</v>
      </c>
    </row>
    <row r="705" spans="1:29">
      <c r="A705" s="1" t="s">
        <v>580</v>
      </c>
      <c r="B705" s="16" t="str">
        <f>INDEX(emprunts!C:C,MATCH($A705,emprunts!A:A,0))</f>
        <v>Dexia CL</v>
      </c>
      <c r="C705" s="18">
        <f>INDEX(emprunts!M:M,MATCH($A705,emprunts!$A:$A,0))</f>
        <v>40664</v>
      </c>
      <c r="D705" s="18">
        <f>IF(INDEX(emprunts!O:O,MATCH($A705,emprunts!$A:$A,0))="",INDEX(emprunts!N:N,MATCH($A705,emprunts!$A:$A,0)),MIN(INDEX(emprunts!N:N,MATCH($A705,emprunts!$A:$A,0)),INDEX(emprunts!O:O,MATCH($A705,emprunts!$A:$A,0))))</f>
        <v>41030</v>
      </c>
      <c r="E705" s="52">
        <f>INDEX(emprunts!I:I,MATCH($A705,emprunts!$A:$A,0))</f>
        <v>12.42</v>
      </c>
      <c r="F705" s="18" t="str">
        <f>INDEX(emprunts!P:P,MATCH($A705,emprunts!$A:$A,0))</f>
        <v>Change</v>
      </c>
      <c r="G705" s="126" t="str">
        <f>IF(LEFT(A705,3)="vx_","vx",INDEX(Categorie,MATCH($A705,emprunts!$A$2:$A$149,0)))</f>
        <v>Struct</v>
      </c>
      <c r="H705">
        <v>2012</v>
      </c>
      <c r="I705">
        <f t="shared" si="126"/>
        <v>1</v>
      </c>
      <c r="N705" s="14">
        <v>6725870.4800000004</v>
      </c>
      <c r="O705" s="14">
        <v>6725870.4800000004</v>
      </c>
      <c r="P705" s="4"/>
      <c r="Q705" s="14">
        <v>324803.51</v>
      </c>
      <c r="R705" s="14">
        <v>379714.16</v>
      </c>
      <c r="S705" s="14"/>
      <c r="T705" s="14">
        <v>178353.89</v>
      </c>
      <c r="U705" s="14">
        <f t="shared" ref="U705" si="133">SUM(Q705:S705)</f>
        <v>704517.66999999993</v>
      </c>
      <c r="V705" s="14">
        <f t="shared" si="124"/>
        <v>0</v>
      </c>
      <c r="X705" s="85">
        <f t="shared" si="127"/>
        <v>6725870.4800000004</v>
      </c>
      <c r="Y705" s="21">
        <f t="shared" si="125"/>
        <v>7.9496335197193888E-2</v>
      </c>
      <c r="AA705" s="55">
        <f t="shared" si="129"/>
        <v>359504.94000000006</v>
      </c>
      <c r="AB705" s="55">
        <f t="shared" si="130"/>
        <v>7105584.6400000006</v>
      </c>
      <c r="AC705" s="55">
        <f t="shared" si="128"/>
        <v>4522283.1858630143</v>
      </c>
    </row>
    <row r="706" spans="1:29">
      <c r="A706" t="s">
        <v>317</v>
      </c>
      <c r="B706" s="16" t="str">
        <f>INDEX(emprunts!C:C,MATCH($A706,emprunts!A:A,0))</f>
        <v>Dexia CL</v>
      </c>
      <c r="C706" s="18">
        <f>INDEX(emprunts!M:M,MATCH($A706,emprunts!$A:$A,0))</f>
        <v>40634</v>
      </c>
      <c r="D706" s="18">
        <f>IF(INDEX(emprunts!O:O,MATCH($A706,emprunts!$A:$A,0))="",INDEX(emprunts!N:N,MATCH($A706,emprunts!$A:$A,0)),MIN(INDEX(emprunts!N:N,MATCH($A706,emprunts!$A:$A,0)),INDEX(emprunts!O:O,MATCH($A706,emprunts!$A:$A,0))))</f>
        <v>41760</v>
      </c>
      <c r="E706" s="52">
        <f>INDEX(emprunts!I:I,MATCH($A706,emprunts!$A:$A,0))</f>
        <v>25</v>
      </c>
      <c r="F706" s="18" t="str">
        <f>INDEX(emprunts!P:P,MATCH($A706,emprunts!$A:$A,0))</f>
        <v>Barrière avec multiplicateur</v>
      </c>
      <c r="G706" s="126" t="str">
        <f>IF(LEFT(A706,3)="vx_","vx",INDEX(Categorie,MATCH($A706,emprunts!$A$2:$A$149,0)))</f>
        <v>Struct</v>
      </c>
      <c r="H706">
        <v>2012</v>
      </c>
      <c r="I706">
        <f t="shared" si="126"/>
        <v>1</v>
      </c>
      <c r="N706" s="14"/>
      <c r="O706" s="58">
        <v>12594799</v>
      </c>
      <c r="P706" s="4">
        <v>1.1039999999999999E-2</v>
      </c>
      <c r="Q706" s="14">
        <v>121589.16</v>
      </c>
      <c r="R706" s="14">
        <v>283016.48</v>
      </c>
      <c r="S706" s="14"/>
      <c r="T706" s="14">
        <v>106671.82</v>
      </c>
      <c r="U706" s="14">
        <f t="shared" si="132"/>
        <v>404605.64</v>
      </c>
      <c r="V706" s="14">
        <f t="shared" si="124"/>
        <v>0</v>
      </c>
      <c r="X706" s="85">
        <f t="shared" si="127"/>
        <v>0</v>
      </c>
      <c r="Y706" s="21">
        <f t="shared" si="125"/>
        <v>1.2435763130977991E-3</v>
      </c>
      <c r="AA706" s="55">
        <f t="shared" si="129"/>
        <v>15838.570000000007</v>
      </c>
      <c r="AB706" s="55">
        <f t="shared" si="130"/>
        <v>13476.480000000447</v>
      </c>
      <c r="AC706" s="55">
        <f t="shared" si="128"/>
        <v>12736307.24</v>
      </c>
    </row>
    <row r="707" spans="1:29">
      <c r="A707" s="1" t="s">
        <v>489</v>
      </c>
      <c r="B707" s="16" t="str">
        <f>INDEX(emprunts!C:C,MATCH($A707,emprunts!A:A,0))</f>
        <v>Dexia CL</v>
      </c>
      <c r="C707" s="18">
        <f>INDEX(emprunts!M:M,MATCH($A707,emprunts!$A:$A,0))</f>
        <v>40725</v>
      </c>
      <c r="D707" s="18">
        <f>IF(INDEX(emprunts!O:O,MATCH($A707,emprunts!$A:$A,0))="",INDEX(emprunts!N:N,MATCH($A707,emprunts!$A:$A,0)),MIN(INDEX(emprunts!N:N,MATCH($A707,emprunts!$A:$A,0)),INDEX(emprunts!O:O,MATCH($A707,emprunts!$A:$A,0))))</f>
        <v>49796</v>
      </c>
      <c r="E707" s="52">
        <f>INDEX(emprunts!I:I,MATCH($A707,emprunts!$A:$A,0))</f>
        <v>25</v>
      </c>
      <c r="F707" s="18" t="str">
        <f>INDEX(emprunts!P:P,MATCH($A707,emprunts!$A:$A,0))</f>
        <v>Barrière avec multiplicateur</v>
      </c>
      <c r="G707" s="126" t="str">
        <f>IF(LEFT(A707,3)="vx_","vx",INDEX(Categorie,MATCH($A707,emprunts!$A$2:$A$149,0)))</f>
        <v>Struct</v>
      </c>
      <c r="H707">
        <v>2012</v>
      </c>
      <c r="I707">
        <f t="shared" si="126"/>
        <v>1</v>
      </c>
      <c r="N707" s="14"/>
      <c r="O707" s="58">
        <v>14243499</v>
      </c>
      <c r="P707" s="4">
        <v>4.0340000000000001E-2</v>
      </c>
      <c r="Q707" s="14">
        <v>576208.9</v>
      </c>
      <c r="R707" s="14">
        <v>320064.27</v>
      </c>
      <c r="S707" s="14"/>
      <c r="T707" s="14">
        <v>376536.09</v>
      </c>
      <c r="U707" s="14">
        <f t="shared" si="132"/>
        <v>896273.17</v>
      </c>
      <c r="V707" s="14">
        <f t="shared" si="124"/>
        <v>0</v>
      </c>
      <c r="X707" s="85">
        <f t="shared" si="127"/>
        <v>0</v>
      </c>
      <c r="Y707" s="21">
        <f t="shared" si="125"/>
        <v>4.6635778664562873E-2</v>
      </c>
      <c r="AA707" s="55">
        <f t="shared" si="129"/>
        <v>671719.89</v>
      </c>
      <c r="AB707" s="55">
        <f t="shared" si="130"/>
        <v>15240.269999999553</v>
      </c>
      <c r="AC707" s="55">
        <f t="shared" si="128"/>
        <v>14403531.135</v>
      </c>
    </row>
    <row r="708" spans="1:29">
      <c r="A708" s="1" t="s">
        <v>487</v>
      </c>
      <c r="B708" s="16" t="str">
        <f>INDEX(emprunts!C:C,MATCH($A708,emprunts!A:A,0))</f>
        <v>Dexia CL</v>
      </c>
      <c r="C708" s="18">
        <f>INDEX(emprunts!M:M,MATCH($A708,emprunts!$A:$A,0))</f>
        <v>40737</v>
      </c>
      <c r="D708" s="18">
        <f>IF(INDEX(emprunts!O:O,MATCH($A708,emprunts!$A:$A,0))="",INDEX(emprunts!N:N,MATCH($A708,emprunts!$A:$A,0)),MIN(INDEX(emprunts!N:N,MATCH($A708,emprunts!$A:$A,0)),INDEX(emprunts!O:O,MATCH($A708,emprunts!$A:$A,0))))</f>
        <v>42644</v>
      </c>
      <c r="E708" s="52">
        <f>INDEX(emprunts!I:I,MATCH($A708,emprunts!$A:$A,0))</f>
        <v>15</v>
      </c>
      <c r="F708" s="18" t="str">
        <f>INDEX(emprunts!P:P,MATCH($A708,emprunts!$A:$A,0))</f>
        <v>Change</v>
      </c>
      <c r="G708" s="126" t="str">
        <f>IF(LEFT(A708,3)="vx_","vx",INDEX(Categorie,MATCH($A708,emprunts!$A$2:$A$149,0)))</f>
        <v>Struct</v>
      </c>
      <c r="H708">
        <v>2012</v>
      </c>
      <c r="I708">
        <f t="shared" si="126"/>
        <v>1</v>
      </c>
      <c r="N708" s="14"/>
      <c r="O708" s="58">
        <v>13411132</v>
      </c>
      <c r="P708" s="4">
        <v>5.228E-2</v>
      </c>
      <c r="Q708" s="14">
        <v>702936.72</v>
      </c>
      <c r="R708" s="14">
        <v>684289.17</v>
      </c>
      <c r="S708" s="14"/>
      <c r="T708" s="14">
        <v>354592.33</v>
      </c>
      <c r="U708" s="14">
        <f t="shared" si="132"/>
        <v>1387225.8900000001</v>
      </c>
      <c r="V708" s="14">
        <f t="shared" si="124"/>
        <v>0</v>
      </c>
      <c r="X708" s="85">
        <f t="shared" si="127"/>
        <v>0</v>
      </c>
      <c r="Y708" s="21">
        <f t="shared" si="125"/>
        <v>5.4802446918142879E-2</v>
      </c>
      <c r="AA708" s="55">
        <f t="shared" si="129"/>
        <v>753713.21</v>
      </c>
      <c r="AB708" s="55">
        <f t="shared" si="130"/>
        <v>32585.169999999925</v>
      </c>
      <c r="AC708" s="55">
        <f t="shared" si="128"/>
        <v>13753276.585000001</v>
      </c>
    </row>
    <row r="709" spans="1:29">
      <c r="A709" t="s">
        <v>324</v>
      </c>
      <c r="B709" s="16" t="str">
        <f>INDEX(emprunts!C:C,MATCH($A709,emprunts!A:A,0))</f>
        <v>Caisse d'Épargne</v>
      </c>
      <c r="C709" s="18">
        <f>INDEX(emprunts!M:M,MATCH($A709,emprunts!$A:$A,0))</f>
        <v>40732</v>
      </c>
      <c r="D709" s="18">
        <f>IF(INDEX(emprunts!O:O,MATCH($A709,emprunts!$A:$A,0))="",INDEX(emprunts!N:N,MATCH($A709,emprunts!$A:$A,0)),MIN(INDEX(emprunts!N:N,MATCH($A709,emprunts!$A:$A,0)),INDEX(emprunts!O:O,MATCH($A709,emprunts!$A:$A,0))))</f>
        <v>46536</v>
      </c>
      <c r="E709" s="52">
        <f>INDEX(emprunts!I:I,MATCH($A709,emprunts!$A:$A,0))</f>
        <v>15</v>
      </c>
      <c r="F709" s="18" t="str">
        <f>INDEX(emprunts!P:P,MATCH($A709,emprunts!$A:$A,0))</f>
        <v>Variable</v>
      </c>
      <c r="G709" s="126" t="str">
        <f>IF(LEFT(A709,3)="vx_","vx",INDEX(Categorie,MATCH($A709,emprunts!$A$2:$A$149,0)))</f>
        <v>Non_st</v>
      </c>
      <c r="H709">
        <v>2012</v>
      </c>
      <c r="I709">
        <f t="shared" si="126"/>
        <v>1</v>
      </c>
      <c r="N709" s="14"/>
      <c r="O709" s="58">
        <v>4886395</v>
      </c>
      <c r="P709" s="4">
        <v>1.405E-2</v>
      </c>
      <c r="Q709" s="14">
        <v>38057.440000000002</v>
      </c>
      <c r="R709" s="14">
        <v>113604.92</v>
      </c>
      <c r="S709" s="14"/>
      <c r="T709" s="14">
        <v>5863.21</v>
      </c>
      <c r="U709" s="14">
        <f t="shared" si="132"/>
        <v>151662.35999999999</v>
      </c>
      <c r="V709" s="14">
        <f t="shared" si="124"/>
        <v>0</v>
      </c>
      <c r="X709" s="85">
        <f t="shared" si="127"/>
        <v>0</v>
      </c>
      <c r="Y709" s="21">
        <f t="shared" si="125"/>
        <v>8.8850688962767033E-3</v>
      </c>
      <c r="AA709" s="55">
        <f t="shared" si="129"/>
        <v>43920.65</v>
      </c>
      <c r="AB709" s="55">
        <f t="shared" si="130"/>
        <v>3799999.92</v>
      </c>
      <c r="AC709" s="55">
        <f t="shared" si="128"/>
        <v>4943197.46</v>
      </c>
    </row>
    <row r="710" spans="1:29">
      <c r="A710" t="s">
        <v>328</v>
      </c>
      <c r="B710" s="16" t="str">
        <f>INDEX(emprunts!C:C,MATCH($A710,emprunts!A:A,0))</f>
        <v>Caisse d'Épargne</v>
      </c>
      <c r="C710" s="18">
        <f>INDEX(emprunts!M:M,MATCH($A710,emprunts!$A:$A,0))</f>
        <v>40732</v>
      </c>
      <c r="D710" s="18">
        <f>IF(INDEX(emprunts!O:O,MATCH($A710,emprunts!$A:$A,0))="",INDEX(emprunts!N:N,MATCH($A710,emprunts!$A:$A,0)),MIN(INDEX(emprunts!N:N,MATCH($A710,emprunts!$A:$A,0)),INDEX(emprunts!O:O,MATCH($A710,emprunts!$A:$A,0))))</f>
        <v>46536</v>
      </c>
      <c r="E710" s="52">
        <f>INDEX(emprunts!I:I,MATCH($A710,emprunts!$A:$A,0))</f>
        <v>15</v>
      </c>
      <c r="F710" s="18" t="str">
        <f>INDEX(emprunts!P:P,MATCH($A710,emprunts!$A:$A,0))</f>
        <v>Variable</v>
      </c>
      <c r="G710" s="126" t="str">
        <f>IF(LEFT(A710,3)="vx_","vx",INDEX(Categorie,MATCH($A710,emprunts!$A$2:$A$149,0)))</f>
        <v>Non_st</v>
      </c>
      <c r="H710">
        <v>2012</v>
      </c>
      <c r="I710">
        <f t="shared" si="126"/>
        <v>1</v>
      </c>
      <c r="N710" s="14"/>
      <c r="O710" s="58">
        <v>4886395</v>
      </c>
      <c r="P710" s="4">
        <v>1.106E-2</v>
      </c>
      <c r="Q710" s="14">
        <v>31800.65</v>
      </c>
      <c r="R710" s="14">
        <v>113604.92</v>
      </c>
      <c r="S710" s="14"/>
      <c r="T710" s="14">
        <v>4579.3</v>
      </c>
      <c r="U710" s="14">
        <f t="shared" si="132"/>
        <v>145405.57</v>
      </c>
      <c r="V710" s="14">
        <f t="shared" si="124"/>
        <v>0</v>
      </c>
      <c r="X710" s="85">
        <f t="shared" si="127"/>
        <v>0</v>
      </c>
      <c r="Y710" s="21">
        <f t="shared" si="125"/>
        <v>7.359598780826369E-3</v>
      </c>
      <c r="AA710" s="55">
        <f t="shared" si="129"/>
        <v>36379.950000000004</v>
      </c>
      <c r="AB710" s="55">
        <f t="shared" si="130"/>
        <v>999999.91999999993</v>
      </c>
      <c r="AC710" s="55">
        <f t="shared" si="128"/>
        <v>4943197.46</v>
      </c>
    </row>
    <row r="711" spans="1:29">
      <c r="A711" t="s">
        <v>331</v>
      </c>
      <c r="B711" s="16" t="str">
        <f>INDEX(emprunts!C:C,MATCH($A711,emprunts!A:A,0))</f>
        <v>Dexia CL</v>
      </c>
      <c r="C711" s="18">
        <f>INDEX(emprunts!M:M,MATCH($A711,emprunts!$A:$A,0))</f>
        <v>40848</v>
      </c>
      <c r="D711" s="18">
        <f>IF(INDEX(emprunts!O:O,MATCH($A711,emprunts!$A:$A,0))="",INDEX(emprunts!N:N,MATCH($A711,emprunts!$A:$A,0)),MIN(INDEX(emprunts!N:N,MATCH($A711,emprunts!$A:$A,0)),INDEX(emprunts!O:O,MATCH($A711,emprunts!$A:$A,0))))</f>
        <v>43101</v>
      </c>
      <c r="E711" s="52">
        <f>INDEX(emprunts!I:I,MATCH($A711,emprunts!$A:$A,0))</f>
        <v>21.17</v>
      </c>
      <c r="F711" s="18" t="str">
        <f>INDEX(emprunts!P:P,MATCH($A711,emprunts!$A:$A,0))</f>
        <v>Barrière avec multiplicateur</v>
      </c>
      <c r="G711" s="126" t="str">
        <f>IF(LEFT(A711,3)="vx_","vx",INDEX(Categorie,MATCH($A711,emprunts!$A$2:$A$149,0)))</f>
        <v>Struct</v>
      </c>
      <c r="H711">
        <v>2012</v>
      </c>
      <c r="I711">
        <f t="shared" si="126"/>
        <v>1</v>
      </c>
      <c r="N711" s="14"/>
      <c r="O711" s="58">
        <v>8990499</v>
      </c>
      <c r="P711" s="4">
        <v>3.5389999999999998E-2</v>
      </c>
      <c r="Q711" s="14">
        <v>319911.93</v>
      </c>
      <c r="R711" s="14">
        <v>282198.24</v>
      </c>
      <c r="S711" s="14"/>
      <c r="T711" s="14">
        <v>308177.09000000003</v>
      </c>
      <c r="U711" s="14">
        <f t="shared" si="132"/>
        <v>602110.16999999993</v>
      </c>
      <c r="V711" s="14">
        <f t="shared" si="124"/>
        <v>0</v>
      </c>
      <c r="X711" s="85">
        <f t="shared" si="127"/>
        <v>0</v>
      </c>
      <c r="Y711" s="21">
        <f t="shared" si="125"/>
        <v>5.0068671878871519E-2</v>
      </c>
      <c r="AA711" s="55">
        <f t="shared" si="129"/>
        <v>457206.99</v>
      </c>
      <c r="AB711" s="55">
        <f t="shared" si="130"/>
        <v>885123.24000000022</v>
      </c>
      <c r="AC711" s="55">
        <f t="shared" si="128"/>
        <v>9131598.1199999992</v>
      </c>
    </row>
    <row r="712" spans="1:29">
      <c r="A712" t="s">
        <v>333</v>
      </c>
      <c r="B712" s="16" t="str">
        <f>INDEX(emprunts!C:C,MATCH($A712,emprunts!A:A,0))</f>
        <v>Dexia CL</v>
      </c>
      <c r="C712" s="18">
        <f>INDEX(emprunts!M:M,MATCH($A712,emprunts!$A:$A,0))</f>
        <v>40848</v>
      </c>
      <c r="D712" s="18">
        <f>IF(INDEX(emprunts!O:O,MATCH($A712,emprunts!$A:$A,0))="",INDEX(emprunts!N:N,MATCH($A712,emprunts!$A:$A,0)),MIN(INDEX(emprunts!N:N,MATCH($A712,emprunts!$A:$A,0)),INDEX(emprunts!O:O,MATCH($A712,emprunts!$A:$A,0))))</f>
        <v>41654</v>
      </c>
      <c r="E712" s="52">
        <f>INDEX(emprunts!I:I,MATCH($A712,emprunts!$A:$A,0))</f>
        <v>22</v>
      </c>
      <c r="F712" s="18" t="str">
        <f>INDEX(emprunts!P:P,MATCH($A712,emprunts!$A:$A,0))</f>
        <v>Change</v>
      </c>
      <c r="G712" s="126" t="str">
        <f>IF(LEFT(A712,3)="vx_","vx",INDEX(Categorie,MATCH($A712,emprunts!$A$2:$A$149,0)))</f>
        <v>Struct</v>
      </c>
      <c r="H712">
        <v>2012</v>
      </c>
      <c r="I712">
        <f t="shared" si="126"/>
        <v>1</v>
      </c>
      <c r="N712" s="14"/>
      <c r="O712" s="58">
        <v>7990225</v>
      </c>
      <c r="P712" s="4">
        <v>6.7879999999999996E-2</v>
      </c>
      <c r="Q712" s="14">
        <v>542827.9</v>
      </c>
      <c r="R712" s="14">
        <v>621196.30000000005</v>
      </c>
      <c r="S712" s="14"/>
      <c r="T712" s="14">
        <v>83281.919999999998</v>
      </c>
      <c r="U712" s="14">
        <f t="shared" si="132"/>
        <v>1164024.2000000002</v>
      </c>
      <c r="V712" s="14">
        <f t="shared" si="124"/>
        <v>0</v>
      </c>
      <c r="X712" s="85">
        <f t="shared" si="127"/>
        <v>0</v>
      </c>
      <c r="Y712" s="21">
        <f t="shared" si="125"/>
        <v>6.8421370957650149E-2</v>
      </c>
      <c r="AA712" s="55">
        <f t="shared" si="129"/>
        <v>567953.70000000007</v>
      </c>
      <c r="AB712" s="55">
        <f t="shared" si="130"/>
        <v>26149.300000000745</v>
      </c>
      <c r="AC712" s="55">
        <f t="shared" si="128"/>
        <v>8300823.1500000004</v>
      </c>
    </row>
    <row r="713" spans="1:29">
      <c r="A713" t="s">
        <v>336</v>
      </c>
      <c r="B713" s="16" t="str">
        <f>INDEX(emprunts!C:C,MATCH($A713,emprunts!A:A,0))</f>
        <v>Dexia CL</v>
      </c>
      <c r="C713" s="18">
        <f>INDEX(emprunts!M:M,MATCH($A713,emprunts!$A:$A,0))</f>
        <v>40878</v>
      </c>
      <c r="D713" s="18">
        <f>IF(INDEX(emprunts!O:O,MATCH($A713,emprunts!$A:$A,0))="",INDEX(emprunts!N:N,MATCH($A713,emprunts!$A:$A,0)),MIN(INDEX(emprunts!N:N,MATCH($A713,emprunts!$A:$A,0)),INDEX(emprunts!O:O,MATCH($A713,emprunts!$A:$A,0))))</f>
        <v>41244</v>
      </c>
      <c r="E713" s="52">
        <f>INDEX(emprunts!I:I,MATCH($A713,emprunts!$A:$A,0))</f>
        <v>18</v>
      </c>
      <c r="F713" s="18" t="str">
        <f>INDEX(emprunts!P:P,MATCH($A713,emprunts!$A:$A,0))</f>
        <v>Change</v>
      </c>
      <c r="G713" s="126" t="str">
        <f>IF(LEFT(A713,3)="vx_","vx",INDEX(Categorie,MATCH($A713,emprunts!$A$2:$A$149,0)))</f>
        <v>Struct</v>
      </c>
      <c r="H713">
        <v>2012</v>
      </c>
      <c r="I713">
        <f t="shared" si="126"/>
        <v>1</v>
      </c>
      <c r="N713" s="14">
        <v>9953600.3599999994</v>
      </c>
      <c r="O713" s="58">
        <v>0</v>
      </c>
      <c r="P713" s="4">
        <v>6.1080000000000002E-2</v>
      </c>
      <c r="Q713" s="14">
        <v>606157.67000000004</v>
      </c>
      <c r="R713" s="14">
        <v>353812.89</v>
      </c>
      <c r="S713" s="14"/>
      <c r="T713" s="14">
        <v>47918.94</v>
      </c>
      <c r="U713" s="14">
        <f t="shared" si="132"/>
        <v>959970.56</v>
      </c>
      <c r="V713" s="14">
        <f t="shared" si="124"/>
        <v>0</v>
      </c>
      <c r="X713" s="85">
        <f t="shared" si="127"/>
        <v>9600000</v>
      </c>
      <c r="Y713" s="21">
        <f t="shared" si="125"/>
        <v>6.971805696231774E-2</v>
      </c>
      <c r="Z713" t="s">
        <v>684</v>
      </c>
      <c r="AA713" s="55">
        <f t="shared" si="129"/>
        <v>625602.79000000015</v>
      </c>
      <c r="AB713" s="55">
        <f t="shared" si="130"/>
        <v>212.89000000059605</v>
      </c>
      <c r="AC713" s="55">
        <f t="shared" si="128"/>
        <v>8973325.0933561642</v>
      </c>
    </row>
    <row r="714" spans="1:29">
      <c r="A714" t="s">
        <v>338</v>
      </c>
      <c r="B714" s="16" t="str">
        <f>INDEX(emprunts!C:C,MATCH($A714,emprunts!A:A,0))</f>
        <v>Dexia CL</v>
      </c>
      <c r="C714" s="18">
        <f>INDEX(emprunts!M:M,MATCH($A714,emprunts!$A:$A,0))</f>
        <v>40878</v>
      </c>
      <c r="D714" s="18">
        <f>IF(INDEX(emprunts!O:O,MATCH($A714,emprunts!$A:$A,0))="",INDEX(emprunts!N:N,MATCH($A714,emprunts!$A:$A,0)),MIN(INDEX(emprunts!N:N,MATCH($A714,emprunts!$A:$A,0)),INDEX(emprunts!O:O,MATCH($A714,emprunts!$A:$A,0))))</f>
        <v>49644</v>
      </c>
      <c r="E714" s="52">
        <f>INDEX(emprunts!I:I,MATCH($A714,emprunts!$A:$A,0))</f>
        <v>24</v>
      </c>
      <c r="F714" s="18" t="str">
        <f>INDEX(emprunts!P:P,MATCH($A714,emprunts!$A:$A,0))</f>
        <v>Variable</v>
      </c>
      <c r="G714" s="126" t="str">
        <f>IF(LEFT(A714,3)="vx_","vx",INDEX(Categorie,MATCH($A714,emprunts!$A$2:$A$149,0)))</f>
        <v>Non_st</v>
      </c>
      <c r="H714">
        <v>2012</v>
      </c>
      <c r="I714">
        <f t="shared" si="126"/>
        <v>1</v>
      </c>
      <c r="N714" s="14"/>
      <c r="O714" s="58">
        <v>4649497</v>
      </c>
      <c r="P714" s="4">
        <v>6.8500000000000002E-3</v>
      </c>
      <c r="Q714" s="14">
        <v>30835.599999999999</v>
      </c>
      <c r="R714" s="14">
        <v>178218.86</v>
      </c>
      <c r="S714" s="14"/>
      <c r="T714" s="14">
        <v>2872.68</v>
      </c>
      <c r="U714" s="14">
        <f t="shared" si="132"/>
        <v>209054.46</v>
      </c>
      <c r="V714" s="14">
        <f t="shared" si="124"/>
        <v>0</v>
      </c>
      <c r="X714" s="85">
        <f t="shared" si="127"/>
        <v>0</v>
      </c>
      <c r="Y714" s="21">
        <f t="shared" si="125"/>
        <v>5.7426018391656137E-3</v>
      </c>
      <c r="AA714" s="55">
        <f t="shared" si="129"/>
        <v>27211.93</v>
      </c>
      <c r="AB714" s="55">
        <f t="shared" si="130"/>
        <v>1985.8600000003353</v>
      </c>
      <c r="AC714" s="55">
        <f t="shared" si="128"/>
        <v>4738606.43</v>
      </c>
    </row>
    <row r="715" spans="1:29">
      <c r="A715" t="s">
        <v>339</v>
      </c>
      <c r="B715" s="16" t="str">
        <f>INDEX(emprunts!C:C,MATCH($A715,emprunts!A:A,0))</f>
        <v>Caisse d'Épargne</v>
      </c>
      <c r="C715" s="18">
        <f>INDEX(emprunts!M:M,MATCH($A715,emprunts!$A:$A,0))</f>
        <v>40913</v>
      </c>
      <c r="D715" s="18">
        <f>IF(INDEX(emprunts!O:O,MATCH($A715,emprunts!$A:$A,0))="",INDEX(emprunts!N:N,MATCH($A715,emprunts!$A:$A,0)),MIN(INDEX(emprunts!N:N,MATCH($A715,emprunts!$A:$A,0)),INDEX(emprunts!O:O,MATCH($A715,emprunts!$A:$A,0))))</f>
        <v>48218</v>
      </c>
      <c r="E715" s="52">
        <f>INDEX(emprunts!I:I,MATCH($A715,emprunts!$A:$A,0))</f>
        <v>20</v>
      </c>
      <c r="F715" s="18" t="str">
        <f>INDEX(emprunts!P:P,MATCH($A715,emprunts!$A:$A,0))</f>
        <v>Barrière</v>
      </c>
      <c r="G715" s="126" t="str">
        <f>IF(LEFT(A715,3)="vx_","vx",INDEX(Categorie,MATCH($A715,emprunts!$A$2:$A$149,0)))</f>
        <v>Struct</v>
      </c>
      <c r="H715">
        <v>2012</v>
      </c>
      <c r="I715">
        <f t="shared" si="126"/>
        <v>1</v>
      </c>
      <c r="N715" s="14"/>
      <c r="O715" s="58">
        <v>6500000</v>
      </c>
      <c r="P715" s="4">
        <v>4.904E-2</v>
      </c>
      <c r="Q715" s="14">
        <v>320504.17</v>
      </c>
      <c r="R715" s="14">
        <v>229847</v>
      </c>
      <c r="S715" s="14"/>
      <c r="T715" s="14">
        <v>304102.43</v>
      </c>
      <c r="U715" s="14">
        <f t="shared" si="132"/>
        <v>550351.16999999993</v>
      </c>
      <c r="V715" s="14">
        <f t="shared" si="124"/>
        <v>0</v>
      </c>
      <c r="X715" s="85">
        <f t="shared" si="127"/>
        <v>0</v>
      </c>
      <c r="Y715" s="21">
        <f t="shared" si="125"/>
        <v>9.5470106155190235E-2</v>
      </c>
      <c r="AA715" s="55">
        <f t="shared" si="129"/>
        <v>624606.6</v>
      </c>
      <c r="AB715" s="55" t="str">
        <f t="shared" si="130"/>
        <v/>
      </c>
      <c r="AC715" s="55">
        <f t="shared" si="128"/>
        <v>6542431.187671233</v>
      </c>
    </row>
    <row r="716" spans="1:29">
      <c r="A716" t="s">
        <v>340</v>
      </c>
      <c r="B716" s="16" t="str">
        <f>INDEX(emprunts!C:C,MATCH($A716,emprunts!A:A,0))</f>
        <v>Caisse d'Épargne</v>
      </c>
      <c r="C716" s="18">
        <f>INDEX(emprunts!M:M,MATCH($A716,emprunts!$A:$A,0))</f>
        <v>40964</v>
      </c>
      <c r="D716" s="18">
        <f>IF(INDEX(emprunts!O:O,MATCH($A716,emprunts!$A:$A,0))="",INDEX(emprunts!N:N,MATCH($A716,emprunts!$A:$A,0)),MIN(INDEX(emprunts!N:N,MATCH($A716,emprunts!$A:$A,0)),INDEX(emprunts!O:O,MATCH($A716,emprunts!$A:$A,0))))</f>
        <v>41330</v>
      </c>
      <c r="E716" s="52">
        <f>INDEX(emprunts!I:I,MATCH($A716,emprunts!$A:$A,0))</f>
        <v>14</v>
      </c>
      <c r="F716" s="18" t="str">
        <f>INDEX(emprunts!P:P,MATCH($A716,emprunts!$A:$A,0))</f>
        <v>Courbes</v>
      </c>
      <c r="G716" s="126" t="str">
        <f>IF(LEFT(A716,3)="vx_","vx",INDEX(Categorie,MATCH($A716,emprunts!$A$2:$A$149,0)))</f>
        <v>Struct</v>
      </c>
      <c r="H716">
        <v>2012</v>
      </c>
      <c r="I716">
        <f t="shared" si="126"/>
        <v>1</v>
      </c>
      <c r="N716" s="14">
        <v>12135477.720000001</v>
      </c>
      <c r="O716" s="58">
        <v>11348820</v>
      </c>
      <c r="P716" s="74">
        <v>0.10177</v>
      </c>
      <c r="Q716" s="14">
        <v>597666.67000000004</v>
      </c>
      <c r="R716" s="14">
        <v>786657.72</v>
      </c>
      <c r="S716" s="14"/>
      <c r="T716" s="14">
        <v>997241.29</v>
      </c>
      <c r="U716" s="14">
        <f t="shared" si="132"/>
        <v>1384324.3900000001</v>
      </c>
      <c r="V716" s="14">
        <f t="shared" si="124"/>
        <v>0</v>
      </c>
      <c r="X716" s="85">
        <f t="shared" si="127"/>
        <v>0</v>
      </c>
      <c r="Y716" s="21">
        <f t="shared" si="125"/>
        <v>0.15992605132842122</v>
      </c>
      <c r="Z716" t="s">
        <v>678</v>
      </c>
      <c r="AA716" s="55">
        <f t="shared" si="129"/>
        <v>1594907.96</v>
      </c>
      <c r="AB716" s="55" t="str">
        <f t="shared" si="130"/>
        <v/>
      </c>
      <c r="AC716" s="55">
        <f t="shared" si="128"/>
        <v>9972783.9632876702</v>
      </c>
    </row>
    <row r="717" spans="1:29">
      <c r="A717" t="s">
        <v>342</v>
      </c>
      <c r="B717" s="16" t="str">
        <f>INDEX(emprunts!C:C,MATCH($A717,emprunts!A:A,0))</f>
        <v>CDC</v>
      </c>
      <c r="C717" s="18">
        <f>INDEX(emprunts!M:M,MATCH($A717,emprunts!$A:$A,0))</f>
        <v>40991</v>
      </c>
      <c r="D717" s="18">
        <f>IF(INDEX(emprunts!O:O,MATCH($A717,emprunts!$A:$A,0))="",INDEX(emprunts!N:N,MATCH($A717,emprunts!$A:$A,0)),MIN(INDEX(emprunts!N:N,MATCH($A717,emprunts!$A:$A,0)),INDEX(emprunts!O:O,MATCH($A717,emprunts!$A:$A,0))))</f>
        <v>46661</v>
      </c>
      <c r="E717" s="52">
        <f>INDEX(emprunts!I:I,MATCH($A717,emprunts!$A:$A,0))</f>
        <v>15.25</v>
      </c>
      <c r="F717" s="18" t="str">
        <f>INDEX(emprunts!P:P,MATCH($A717,emprunts!$A:$A,0))</f>
        <v>Variable</v>
      </c>
      <c r="G717" s="126" t="str">
        <f>IF(LEFT(A717,3)="vx_","vx",INDEX(Categorie,MATCH($A717,emprunts!$A$2:$A$149,0)))</f>
        <v>Non_st</v>
      </c>
      <c r="H717">
        <v>2012</v>
      </c>
      <c r="I717">
        <f t="shared" si="126"/>
        <v>1</v>
      </c>
      <c r="N717" s="14"/>
      <c r="O717" s="58">
        <v>6145833</v>
      </c>
      <c r="P717" s="4">
        <v>2.2759999999999999E-2</v>
      </c>
      <c r="Q717" s="14">
        <v>134857.49</v>
      </c>
      <c r="R717" s="14">
        <v>418868.66</v>
      </c>
      <c r="S717" s="14"/>
      <c r="T717" s="14">
        <v>33639.370000000003</v>
      </c>
      <c r="U717" s="14">
        <f t="shared" si="132"/>
        <v>553726.14999999991</v>
      </c>
      <c r="V717" s="14">
        <f t="shared" si="124"/>
        <v>0</v>
      </c>
      <c r="X717" s="85">
        <f t="shared" si="127"/>
        <v>0</v>
      </c>
      <c r="Y717" s="21">
        <f t="shared" si="125"/>
        <v>3.4195142461685986E-2</v>
      </c>
      <c r="AA717" s="55">
        <f t="shared" si="129"/>
        <v>168496.86</v>
      </c>
      <c r="AB717" s="55" t="str">
        <f t="shared" si="130"/>
        <v/>
      </c>
      <c r="AC717" s="55">
        <f t="shared" si="128"/>
        <v>4927508.642164384</v>
      </c>
    </row>
    <row r="718" spans="1:29">
      <c r="A718" s="1" t="s">
        <v>531</v>
      </c>
      <c r="B718" s="16" t="str">
        <f>INDEX(emprunts!C:C,MATCH($A718,emprunts!A:A,0))</f>
        <v>Dexia CL</v>
      </c>
      <c r="C718" s="18">
        <f>INDEX(emprunts!M:M,MATCH($A718,emprunts!$A:$A,0))</f>
        <v>41030</v>
      </c>
      <c r="D718" s="18">
        <f>IF(INDEX(emprunts!O:O,MATCH($A718,emprunts!$A:$A,0))="",INDEX(emprunts!N:N,MATCH($A718,emprunts!$A:$A,0)),MIN(INDEX(emprunts!N:N,MATCH($A718,emprunts!$A:$A,0)),INDEX(emprunts!O:O,MATCH($A718,emprunts!$A:$A,0))))</f>
        <v>48122</v>
      </c>
      <c r="E718" s="52">
        <f>INDEX(emprunts!I:I,MATCH($A718,emprunts!$A:$A,0))</f>
        <v>19.420000000000002</v>
      </c>
      <c r="F718" s="18" t="str">
        <f>INDEX(emprunts!P:P,MATCH($A718,emprunts!$A:$A,0))</f>
        <v>Barrière avec multiplicateur</v>
      </c>
      <c r="G718" s="126" t="str">
        <f>IF(LEFT(A718,3)="vx_","vx",INDEX(Categorie,MATCH($A718,emprunts!$A$2:$A$149,0)))</f>
        <v>Struct</v>
      </c>
      <c r="H718">
        <v>2012</v>
      </c>
      <c r="I718">
        <f t="shared" si="126"/>
        <v>1</v>
      </c>
      <c r="N718" s="14"/>
      <c r="O718" s="58">
        <v>15345895</v>
      </c>
      <c r="P718" s="4">
        <v>2.521E-2</v>
      </c>
      <c r="Q718" s="14">
        <v>379293.12</v>
      </c>
      <c r="R718" s="14">
        <v>502501.49</v>
      </c>
      <c r="S718" s="14"/>
      <c r="T718" s="14">
        <v>99993.9</v>
      </c>
      <c r="U718" s="14">
        <f t="shared" si="132"/>
        <v>881794.61</v>
      </c>
      <c r="V718" s="14">
        <f t="shared" ref="V718:V778" si="134">IF(U718="","",U718-SUM(Q718:S718))</f>
        <v>0</v>
      </c>
      <c r="X718" s="85">
        <f t="shared" si="127"/>
        <v>0</v>
      </c>
      <c r="Y718" s="21">
        <f t="shared" si="125"/>
        <v>4.5967784789358992E-2</v>
      </c>
      <c r="AA718" s="55">
        <f t="shared" si="129"/>
        <v>479287.02</v>
      </c>
      <c r="AB718" s="55" t="str">
        <f t="shared" si="130"/>
        <v/>
      </c>
      <c r="AC718" s="55">
        <f t="shared" si="128"/>
        <v>10426585.100767123</v>
      </c>
    </row>
    <row r="719" spans="1:29">
      <c r="A719" s="1" t="s">
        <v>490</v>
      </c>
      <c r="B719" s="16" t="str">
        <f>INDEX(emprunts!C:C,MATCH($A719,emprunts!A:A,0))</f>
        <v>Dexia CL</v>
      </c>
      <c r="C719" s="18">
        <f>INDEX(emprunts!M:M,MATCH($A719,emprunts!$A:$A,0))</f>
        <v>41030</v>
      </c>
      <c r="D719" s="18">
        <f>IF(INDEX(emprunts!O:O,MATCH($A719,emprunts!$A:$A,0))="",INDEX(emprunts!N:N,MATCH($A719,emprunts!$A:$A,0)),MIN(INDEX(emprunts!N:N,MATCH($A719,emprunts!$A:$A,0)),INDEX(emprunts!O:O,MATCH($A719,emprunts!$A:$A,0))))</f>
        <v>41760</v>
      </c>
      <c r="E719" s="52">
        <f>INDEX(emprunts!I:I,MATCH($A719,emprunts!$A:$A,0))</f>
        <v>17</v>
      </c>
      <c r="F719" s="18" t="str">
        <f>INDEX(emprunts!P:P,MATCH($A719,emprunts!$A:$A,0))</f>
        <v>Change</v>
      </c>
      <c r="G719" s="126" t="str">
        <f>IF(LEFT(A719,3)="vx_","vx",INDEX(Categorie,MATCH($A719,emprunts!$A$2:$A$149,0)))</f>
        <v>Struct</v>
      </c>
      <c r="H719">
        <v>2012</v>
      </c>
      <c r="I719">
        <f t="shared" si="126"/>
        <v>1</v>
      </c>
      <c r="N719" s="14"/>
      <c r="O719" s="58">
        <v>14097596</v>
      </c>
      <c r="P719" s="4">
        <v>0.16549</v>
      </c>
      <c r="Q719" s="14">
        <v>2178272.11</v>
      </c>
      <c r="R719" s="14">
        <v>400000</v>
      </c>
      <c r="S719" s="14"/>
      <c r="T719" s="14">
        <v>1434221.95</v>
      </c>
      <c r="U719" s="14">
        <f t="shared" si="132"/>
        <v>2578272.11</v>
      </c>
      <c r="V719" s="14">
        <f t="shared" si="134"/>
        <v>0</v>
      </c>
      <c r="X719" s="85">
        <f t="shared" si="127"/>
        <v>0</v>
      </c>
      <c r="Y719" s="21">
        <f t="shared" si="125"/>
        <v>0.37796114720792284</v>
      </c>
      <c r="AA719" s="55">
        <f t="shared" si="129"/>
        <v>3612494.0599999996</v>
      </c>
      <c r="AB719" s="55" t="str">
        <f t="shared" si="130"/>
        <v/>
      </c>
      <c r="AC719" s="55">
        <f t="shared" si="128"/>
        <v>9557844.9972602744</v>
      </c>
    </row>
    <row r="720" spans="1:29">
      <c r="A720" s="1" t="s">
        <v>497</v>
      </c>
      <c r="B720" s="16" t="str">
        <f>INDEX(emprunts!C:C,MATCH($A720,emprunts!A:A,0))</f>
        <v>Dexia CL</v>
      </c>
      <c r="C720" s="18">
        <f>INDEX(emprunts!M:M,MATCH($A720,emprunts!$A:$A,0))</f>
        <v>41030</v>
      </c>
      <c r="D720" s="18">
        <f>IF(INDEX(emprunts!O:O,MATCH($A720,emprunts!$A:$A,0))="",INDEX(emprunts!N:N,MATCH($A720,emprunts!$A:$A,0)),MIN(INDEX(emprunts!N:N,MATCH($A720,emprunts!$A:$A,0)),INDEX(emprunts!O:O,MATCH($A720,emprunts!$A:$A,0))))</f>
        <v>41426</v>
      </c>
      <c r="E720" s="52">
        <f>INDEX(emprunts!I:I,MATCH($A720,emprunts!$A:$A,0))</f>
        <v>12</v>
      </c>
      <c r="F720" s="18" t="str">
        <f>INDEX(emprunts!P:P,MATCH($A720,emprunts!$A:$A,0))</f>
        <v>Change</v>
      </c>
      <c r="G720" s="126" t="str">
        <f>IF(LEFT(A720,3)="vx_","vx",INDEX(Categorie,MATCH($A720,emprunts!$A$2:$A$149,0)))</f>
        <v>Struct</v>
      </c>
      <c r="H720">
        <v>2012</v>
      </c>
      <c r="I720">
        <f t="shared" si="126"/>
        <v>1</v>
      </c>
      <c r="N720" s="14"/>
      <c r="O720" s="58">
        <v>6346156</v>
      </c>
      <c r="P720" s="4">
        <v>0.12667</v>
      </c>
      <c r="Q720" s="14">
        <v>797998.67</v>
      </c>
      <c r="R720" s="14">
        <v>398699.87</v>
      </c>
      <c r="S720" s="14"/>
      <c r="T720" s="14">
        <v>444181.67</v>
      </c>
      <c r="U720" s="14">
        <f t="shared" si="132"/>
        <v>1196698.54</v>
      </c>
      <c r="V720" s="14">
        <f t="shared" si="134"/>
        <v>0</v>
      </c>
      <c r="X720" s="85">
        <f t="shared" si="127"/>
        <v>0</v>
      </c>
      <c r="Y720" s="21">
        <f t="shared" si="125"/>
        <v>0.28388632222166238</v>
      </c>
      <c r="AA720" s="55">
        <f t="shared" si="129"/>
        <v>1242180.3400000001</v>
      </c>
      <c r="AB720" s="55" t="str">
        <f t="shared" si="130"/>
        <v/>
      </c>
      <c r="AC720" s="55">
        <f t="shared" si="128"/>
        <v>4375625.8853150681</v>
      </c>
    </row>
    <row r="721" spans="1:29">
      <c r="A721" t="s">
        <v>350</v>
      </c>
      <c r="B721" s="16" t="str">
        <f>INDEX(emprunts!C:C,MATCH($A721,emprunts!A:A,0))</f>
        <v>Dexia CL</v>
      </c>
      <c r="C721" s="18">
        <f>INDEX(emprunts!M:M,MATCH($A721,emprunts!$A:$A,0))</f>
        <v>41030</v>
      </c>
      <c r="D721" s="18">
        <f>IF(INDEX(emprunts!O:O,MATCH($A721,emprunts!$A:$A,0))="",INDEX(emprunts!N:N,MATCH($A721,emprunts!$A:$A,0)),MIN(INDEX(emprunts!N:N,MATCH($A721,emprunts!$A:$A,0)),INDEX(emprunts!O:O,MATCH($A721,emprunts!$A:$A,0))))</f>
        <v>41426</v>
      </c>
      <c r="E721" s="52">
        <f>INDEX(emprunts!I:I,MATCH($A721,emprunts!$A:$A,0))</f>
        <v>15</v>
      </c>
      <c r="F721" s="18" t="str">
        <f>INDEX(emprunts!P:P,MATCH($A721,emprunts!$A:$A,0))</f>
        <v>Variable</v>
      </c>
      <c r="G721" s="126" t="str">
        <f>IF(LEFT(A721,3)="vx_","vx",INDEX(Categorie,MATCH($A721,emprunts!$A$2:$A$149,0)))</f>
        <v>Non_st</v>
      </c>
      <c r="H721">
        <v>2012</v>
      </c>
      <c r="I721">
        <f t="shared" si="126"/>
        <v>1</v>
      </c>
      <c r="N721" s="14"/>
      <c r="O721" s="58">
        <v>4000000</v>
      </c>
      <c r="P721" s="4">
        <v>3.7769999999999998E-2</v>
      </c>
      <c r="Q721" s="14">
        <v>146243.19</v>
      </c>
      <c r="R721" s="14">
        <v>185369.15</v>
      </c>
      <c r="S721" s="14"/>
      <c r="T721" s="14">
        <v>98294.67</v>
      </c>
      <c r="U721" s="14">
        <f t="shared" si="132"/>
        <v>331612.33999999997</v>
      </c>
      <c r="V721" s="14">
        <f t="shared" si="134"/>
        <v>0</v>
      </c>
      <c r="X721" s="85">
        <f t="shared" si="127"/>
        <v>0</v>
      </c>
      <c r="Y721" s="21">
        <f t="shared" si="125"/>
        <v>8.9380107103840922E-2</v>
      </c>
      <c r="AA721" s="55">
        <f t="shared" si="129"/>
        <v>244537.86</v>
      </c>
      <c r="AB721" s="55" t="str">
        <f t="shared" si="130"/>
        <v/>
      </c>
      <c r="AC721" s="55">
        <f t="shared" si="128"/>
        <v>2735931.6063013701</v>
      </c>
    </row>
    <row r="722" spans="1:29">
      <c r="A722" t="s">
        <v>352</v>
      </c>
      <c r="B722" s="16" t="str">
        <f>INDEX(emprunts!C:C,MATCH($A722,emprunts!A:A,0))</f>
        <v>Caisse d'Épargne</v>
      </c>
      <c r="C722" s="18">
        <f>INDEX(emprunts!M:M,MATCH($A722,emprunts!$A:$A,0))</f>
        <v>41167</v>
      </c>
      <c r="D722" s="18">
        <f>IF(INDEX(emprunts!O:O,MATCH($A722,emprunts!$A:$A,0))="",INDEX(emprunts!N:N,MATCH($A722,emprunts!$A:$A,0)),MIN(INDEX(emprunts!N:N,MATCH($A722,emprunts!$A:$A,0)),INDEX(emprunts!O:O,MATCH($A722,emprunts!$A:$A,0))))</f>
        <v>48785</v>
      </c>
      <c r="E722" s="52">
        <f>INDEX(emprunts!I:I,MATCH($A722,emprunts!$A:$A,0))</f>
        <v>20.8</v>
      </c>
      <c r="F722" s="18" t="str">
        <f>INDEX(emprunts!P:P,MATCH($A722,emprunts!$A:$A,0))</f>
        <v>Fixe</v>
      </c>
      <c r="G722" s="126" t="str">
        <f>IF(LEFT(A722,3)="vx_","vx",INDEX(Categorie,MATCH($A722,emprunts!$A$2:$A$149,0)))</f>
        <v>Non_st</v>
      </c>
      <c r="H722">
        <v>2012</v>
      </c>
      <c r="I722">
        <f t="shared" si="126"/>
        <v>1</v>
      </c>
      <c r="N722" s="14">
        <v>20000000</v>
      </c>
      <c r="O722" s="58">
        <f>20000000-146930.48</f>
        <v>19853069.52</v>
      </c>
      <c r="P722" s="4">
        <v>4.5080000000000002E-2</v>
      </c>
      <c r="Q722" s="14">
        <v>227857.53</v>
      </c>
      <c r="R722" s="14">
        <v>146930.48000000001</v>
      </c>
      <c r="S722" s="14"/>
      <c r="T722" s="14">
        <v>164720.64000000001</v>
      </c>
      <c r="U722" s="14">
        <f t="shared" si="132"/>
        <v>374788.01</v>
      </c>
      <c r="V722" s="14">
        <f t="shared" si="134"/>
        <v>0</v>
      </c>
      <c r="X722" s="85">
        <f t="shared" si="127"/>
        <v>0</v>
      </c>
      <c r="Y722" s="21">
        <f t="shared" si="125"/>
        <v>6.7205288825229526E-2</v>
      </c>
      <c r="Z722" t="s">
        <v>654</v>
      </c>
      <c r="AA722" s="55">
        <f t="shared" si="129"/>
        <v>392578.17000000004</v>
      </c>
      <c r="AB722" s="55" t="str">
        <f t="shared" si="130"/>
        <v/>
      </c>
      <c r="AC722" s="55">
        <f t="shared" si="128"/>
        <v>5841477.3132054796</v>
      </c>
    </row>
    <row r="723" spans="1:29">
      <c r="A723" s="1" t="s">
        <v>493</v>
      </c>
      <c r="B723" s="16" t="str">
        <f>INDEX(emprunts!C:C,MATCH($A723,emprunts!A:A,0))</f>
        <v>Dexia CL</v>
      </c>
      <c r="C723" s="18">
        <f>INDEX(emprunts!M:M,MATCH($A723,emprunts!$A:$A,0))</f>
        <v>41244</v>
      </c>
      <c r="D723" s="18">
        <f>IF(INDEX(emprunts!O:O,MATCH($A723,emprunts!$A:$A,0))="",INDEX(emprunts!N:N,MATCH($A723,emprunts!$A:$A,0)),MIN(INDEX(emprunts!N:N,MATCH($A723,emprunts!$A:$A,0)),INDEX(emprunts!O:O,MATCH($A723,emprunts!$A:$A,0))))</f>
        <v>42675</v>
      </c>
      <c r="E723" s="52">
        <f>INDEX(emprunts!I:I,MATCH($A723,emprunts!$A:$A,0))</f>
        <v>17</v>
      </c>
      <c r="F723" s="18" t="str">
        <f>INDEX(emprunts!P:P,MATCH($A723,emprunts!$A:$A,0))</f>
        <v>Change</v>
      </c>
      <c r="G723" s="126" t="str">
        <f>IF(LEFT(A723,3)="vx_","vx",INDEX(Categorie,MATCH($A723,emprunts!$A$2:$A$149,0)))</f>
        <v>Struct</v>
      </c>
      <c r="H723">
        <v>2012</v>
      </c>
      <c r="I723">
        <f t="shared" si="126"/>
        <v>1</v>
      </c>
      <c r="N723" s="14"/>
      <c r="O723" s="58">
        <v>9599787</v>
      </c>
      <c r="P723" s="4">
        <v>6.5500000000000003E-2</v>
      </c>
      <c r="Q723" s="14">
        <v>583013.76</v>
      </c>
      <c r="R723" s="14">
        <v>371503.53</v>
      </c>
      <c r="S723" s="14"/>
      <c r="T723" s="14">
        <v>93267.95</v>
      </c>
      <c r="U723" s="14">
        <f t="shared" si="132"/>
        <v>954517.29</v>
      </c>
      <c r="V723" s="14">
        <f t="shared" si="134"/>
        <v>0</v>
      </c>
      <c r="X723" s="85">
        <f t="shared" si="127"/>
        <v>0</v>
      </c>
      <c r="Y723" s="21">
        <f t="shared" si="125"/>
        <v>0.84084221992587782</v>
      </c>
      <c r="AA723" s="55">
        <f t="shared" si="129"/>
        <v>676281.71</v>
      </c>
      <c r="AB723" s="55" t="str">
        <f t="shared" si="130"/>
        <v/>
      </c>
      <c r="AC723" s="55">
        <f t="shared" si="128"/>
        <v>804290.85739726026</v>
      </c>
    </row>
    <row r="724" spans="1:29" ht="30">
      <c r="A724" s="1" t="s">
        <v>495</v>
      </c>
      <c r="B724" s="16" t="str">
        <f>INDEX(emprunts!C:C,MATCH($A724,emprunts!A:A,0))</f>
        <v>Dexia CL</v>
      </c>
      <c r="C724" s="18">
        <f>INDEX(emprunts!M:M,MATCH($A724,emprunts!$A:$A,0))</f>
        <v>41244</v>
      </c>
      <c r="D724" s="18">
        <f>IF(INDEX(emprunts!O:O,MATCH($A724,emprunts!$A:$A,0))="",INDEX(emprunts!N:N,MATCH($A724,emprunts!$A:$A,0)),MIN(INDEX(emprunts!N:N,MATCH($A724,emprunts!$A:$A,0)),INDEX(emprunts!O:O,MATCH($A724,emprunts!$A:$A,0))))</f>
        <v>48914</v>
      </c>
      <c r="E724" s="52">
        <f>INDEX(emprunts!I:I,MATCH($A724,emprunts!$A:$A,0))</f>
        <v>21</v>
      </c>
      <c r="F724" s="18" t="str">
        <f>INDEX(emprunts!P:P,MATCH($A724,emprunts!$A:$A,0))</f>
        <v>Fixe</v>
      </c>
      <c r="G724" s="126" t="str">
        <f>IF(LEFT(A724,3)="vx_","vx",INDEX(Categorie,MATCH($A724,emprunts!$A$2:$A$149,0)))</f>
        <v>Restr_sec</v>
      </c>
      <c r="H724">
        <v>2012</v>
      </c>
      <c r="I724">
        <f t="shared" si="126"/>
        <v>1</v>
      </c>
      <c r="N724" s="14"/>
      <c r="O724" s="58">
        <v>8290530</v>
      </c>
      <c r="P724" s="4">
        <v>5.2069999999999998E-2</v>
      </c>
      <c r="Q724" s="14">
        <v>432892.34</v>
      </c>
      <c r="R724" s="14">
        <v>661762.86</v>
      </c>
      <c r="S724" s="14"/>
      <c r="T724" s="14">
        <v>32740.13</v>
      </c>
      <c r="U724" s="14">
        <f t="shared" si="132"/>
        <v>1094655.2</v>
      </c>
      <c r="V724" s="14">
        <f t="shared" si="134"/>
        <v>0</v>
      </c>
      <c r="X724" s="85">
        <f t="shared" si="127"/>
        <v>0</v>
      </c>
      <c r="Y724" s="21">
        <f t="shared" si="125"/>
        <v>0.65710760908050858</v>
      </c>
      <c r="AA724" s="55">
        <f t="shared" si="129"/>
        <v>465632.47000000003</v>
      </c>
      <c r="AB724" s="55" t="str">
        <f t="shared" si="130"/>
        <v/>
      </c>
      <c r="AC724" s="55">
        <f t="shared" si="128"/>
        <v>708609.15863013687</v>
      </c>
    </row>
    <row r="725" spans="1:29">
      <c r="A725" t="s">
        <v>354</v>
      </c>
      <c r="B725" s="16" t="str">
        <f>INDEX(emprunts!C:C,MATCH($A725,emprunts!A:A,0))</f>
        <v>Caisse d'Épargne</v>
      </c>
      <c r="C725" s="18">
        <f>INDEX(emprunts!M:M,MATCH($A725,emprunts!$A:$A,0))</f>
        <v>41330</v>
      </c>
      <c r="D725" s="18">
        <f>IF(INDEX(emprunts!O:O,MATCH($A725,emprunts!$A:$A,0))="",INDEX(emprunts!N:N,MATCH($A725,emprunts!$A:$A,0)),MIN(INDEX(emprunts!N:N,MATCH($A725,emprunts!$A:$A,0)),INDEX(emprunts!O:O,MATCH($A725,emprunts!$A:$A,0))))</f>
        <v>41695</v>
      </c>
      <c r="E725" s="52">
        <f>INDEX(emprunts!I:I,MATCH($A725,emprunts!$A:$A,0))</f>
        <v>13</v>
      </c>
      <c r="F725" s="18" t="str">
        <f>INDEX(emprunts!P:P,MATCH($A725,emprunts!$A:$A,0))</f>
        <v>Courbes</v>
      </c>
      <c r="G725" s="126" t="str">
        <f>IF(LEFT(A725,3)="vx_","vx",INDEX(Categorie,MATCH($A725,emprunts!$A$2:$A$149,0)))</f>
        <v>Struct</v>
      </c>
      <c r="H725">
        <v>2012</v>
      </c>
      <c r="I725">
        <f t="shared" si="126"/>
        <v>0</v>
      </c>
      <c r="N725"/>
      <c r="O725" s="58"/>
      <c r="Q725" s="14"/>
      <c r="R725" s="14"/>
      <c r="S725" s="14"/>
      <c r="T725" s="14"/>
      <c r="U725" s="14"/>
      <c r="V725" s="14" t="str">
        <f t="shared" si="134"/>
        <v/>
      </c>
      <c r="X725" s="85">
        <f t="shared" si="127"/>
        <v>0</v>
      </c>
      <c r="Y725" s="21" t="str">
        <f t="shared" si="125"/>
        <v/>
      </c>
      <c r="AA725" s="55">
        <f t="shared" si="129"/>
        <v>0</v>
      </c>
      <c r="AB725" s="55">
        <f t="shared" si="130"/>
        <v>0</v>
      </c>
      <c r="AC725" s="55">
        <f t="shared" si="128"/>
        <v>0</v>
      </c>
    </row>
    <row r="726" spans="1:29" ht="30">
      <c r="A726" s="1" t="s">
        <v>506</v>
      </c>
      <c r="B726" s="16" t="str">
        <f>INDEX(emprunts!C:C,MATCH($A726,emprunts!A:A,0))</f>
        <v>Caisse d'Épargne</v>
      </c>
      <c r="C726" s="18">
        <f>INDEX(emprunts!M:M,MATCH($A726,emprunts!$A:$A,0))</f>
        <v>41330</v>
      </c>
      <c r="D726" s="18">
        <f>IF(INDEX(emprunts!O:O,MATCH($A726,emprunts!$A:$A,0))="",INDEX(emprunts!N:N,MATCH($A726,emprunts!$A:$A,0)),MIN(INDEX(emprunts!N:N,MATCH($A726,emprunts!$A:$A,0)),INDEX(emprunts!O:O,MATCH($A726,emprunts!$A:$A,0))))</f>
        <v>48635</v>
      </c>
      <c r="E726" s="52">
        <f>INDEX(emprunts!I:I,MATCH($A726,emprunts!$A:$A,0))</f>
        <v>20</v>
      </c>
      <c r="F726" s="18" t="str">
        <f>INDEX(emprunts!P:P,MATCH($A726,emprunts!$A:$A,0))</f>
        <v>Fixe</v>
      </c>
      <c r="G726" s="126" t="str">
        <f>IF(LEFT(A726,3)="vx_","vx",INDEX(Categorie,MATCH($A726,emprunts!$A$2:$A$149,0)))</f>
        <v>Restr_sec</v>
      </c>
      <c r="H726">
        <v>2012</v>
      </c>
      <c r="I726">
        <f t="shared" si="126"/>
        <v>0</v>
      </c>
      <c r="N726"/>
      <c r="O726" s="58"/>
      <c r="Q726" s="14"/>
      <c r="R726" s="14"/>
      <c r="S726" s="14"/>
      <c r="T726" s="14"/>
      <c r="U726" s="14"/>
      <c r="V726" s="14" t="str">
        <f t="shared" si="134"/>
        <v/>
      </c>
      <c r="X726" s="85">
        <f t="shared" si="127"/>
        <v>0</v>
      </c>
      <c r="Y726" s="21" t="str">
        <f t="shared" si="125"/>
        <v/>
      </c>
      <c r="AA726" s="55">
        <f t="shared" si="129"/>
        <v>0</v>
      </c>
      <c r="AB726" s="55">
        <f t="shared" si="130"/>
        <v>0</v>
      </c>
      <c r="AC726" s="55">
        <f t="shared" si="128"/>
        <v>0</v>
      </c>
    </row>
    <row r="727" spans="1:29" ht="30">
      <c r="A727" s="1" t="s">
        <v>498</v>
      </c>
      <c r="B727" s="16" t="str">
        <f>INDEX(emprunts!C:C,MATCH($A727,emprunts!A:A,0))</f>
        <v>Dexia CL</v>
      </c>
      <c r="C727" s="18">
        <f>INDEX(emprunts!M:M,MATCH($A727,emprunts!$A:$A,0))</f>
        <v>41426</v>
      </c>
      <c r="D727" s="18">
        <f>IF(INDEX(emprunts!O:O,MATCH($A727,emprunts!$A:$A,0))="",INDEX(emprunts!N:N,MATCH($A727,emprunts!$A:$A,0)),MIN(INDEX(emprunts!N:N,MATCH($A727,emprunts!$A:$A,0)),INDEX(emprunts!O:O,MATCH($A727,emprunts!$A:$A,0))))</f>
        <v>48731</v>
      </c>
      <c r="E727" s="52">
        <f>INDEX(emprunts!I:I,MATCH($A727,emprunts!$A:$A,0))</f>
        <v>20</v>
      </c>
      <c r="F727" s="18" t="str">
        <f>INDEX(emprunts!P:P,MATCH($A727,emprunts!$A:$A,0))</f>
        <v>Fixe</v>
      </c>
      <c r="G727" s="126" t="str">
        <f>IF(LEFT(A727,3)="vx_","vx",INDEX(Categorie,MATCH($A727,emprunts!$A$2:$A$149,0)))</f>
        <v>Restr_sec</v>
      </c>
      <c r="H727">
        <v>2012</v>
      </c>
      <c r="I727">
        <f t="shared" si="126"/>
        <v>0</v>
      </c>
      <c r="N727"/>
      <c r="O727" s="58"/>
      <c r="Q727" s="14"/>
      <c r="R727" s="14"/>
      <c r="S727" s="14"/>
      <c r="T727" s="14"/>
      <c r="U727" s="14"/>
      <c r="V727" s="14" t="str">
        <f t="shared" si="134"/>
        <v/>
      </c>
      <c r="X727" s="85">
        <f t="shared" si="127"/>
        <v>0</v>
      </c>
      <c r="Y727" s="21" t="str">
        <f t="shared" si="125"/>
        <v/>
      </c>
      <c r="AA727" s="55">
        <f t="shared" si="129"/>
        <v>0</v>
      </c>
      <c r="AB727" s="55">
        <f t="shared" si="130"/>
        <v>0</v>
      </c>
      <c r="AC727" s="55">
        <f t="shared" si="128"/>
        <v>0</v>
      </c>
    </row>
    <row r="728" spans="1:29">
      <c r="A728" t="s">
        <v>357</v>
      </c>
      <c r="B728" s="16" t="str">
        <f>INDEX(emprunts!C:C,MATCH($A728,emprunts!A:A,0))</f>
        <v>Caisse d'Épargne</v>
      </c>
      <c r="C728" s="18">
        <f>INDEX(emprunts!M:M,MATCH($A728,emprunts!$A:$A,0))</f>
        <v>41639</v>
      </c>
      <c r="D728" s="18">
        <f>IF(INDEX(emprunts!O:O,MATCH($A728,emprunts!$A:$A,0))="",INDEX(emprunts!N:N,MATCH($A728,emprunts!$A:$A,0)),MIN(INDEX(emprunts!N:N,MATCH($A728,emprunts!$A:$A,0)),INDEX(emprunts!O:O,MATCH($A728,emprunts!$A:$A,0))))</f>
        <v>48944</v>
      </c>
      <c r="E728" s="52">
        <f>INDEX(emprunts!I:I,MATCH($A728,emprunts!$A:$A,0))</f>
        <v>20</v>
      </c>
      <c r="F728" s="18" t="str">
        <f>INDEX(emprunts!P:P,MATCH($A728,emprunts!$A:$A,0))</f>
        <v>Fixe</v>
      </c>
      <c r="G728" s="126" t="str">
        <f>IF(LEFT(A728,3)="vx_","vx",INDEX(Categorie,MATCH($A728,emprunts!$A$2:$A$149,0)))</f>
        <v>Non_st</v>
      </c>
      <c r="H728">
        <v>2012</v>
      </c>
      <c r="I728">
        <f t="shared" si="126"/>
        <v>0</v>
      </c>
      <c r="N728"/>
      <c r="O728" s="58"/>
      <c r="Q728" s="14"/>
      <c r="R728" s="14"/>
      <c r="S728" s="14"/>
      <c r="T728" s="14"/>
      <c r="U728" s="14"/>
      <c r="V728" s="14" t="str">
        <f t="shared" si="134"/>
        <v/>
      </c>
      <c r="X728" s="85">
        <f t="shared" si="127"/>
        <v>0</v>
      </c>
      <c r="Y728" s="21" t="str">
        <f t="shared" si="125"/>
        <v/>
      </c>
      <c r="AA728" s="55">
        <f t="shared" si="129"/>
        <v>0</v>
      </c>
      <c r="AB728" s="55">
        <f t="shared" si="130"/>
        <v>0</v>
      </c>
      <c r="AC728" s="55">
        <f t="shared" si="128"/>
        <v>0</v>
      </c>
    </row>
    <row r="729" spans="1:29">
      <c r="A729" s="1" t="s">
        <v>540</v>
      </c>
      <c r="B729" s="16" t="str">
        <f>INDEX(emprunts!C:C,MATCH($A729,emprunts!A:A,0))</f>
        <v>Crédit Mutuel</v>
      </c>
      <c r="C729" s="18">
        <f>INDEX(emprunts!M:M,MATCH($A729,emprunts!$A:$A,0))</f>
        <v>36495</v>
      </c>
      <c r="D729" s="18">
        <f>IF(INDEX(emprunts!O:O,MATCH($A729,emprunts!$A:$A,0))="",INDEX(emprunts!N:N,MATCH($A729,emprunts!$A:$A,0)),MIN(INDEX(emprunts!N:N,MATCH($A729,emprunts!$A:$A,0)),INDEX(emprunts!O:O,MATCH($A729,emprunts!$A:$A,0))))</f>
        <v>41973</v>
      </c>
      <c r="E729" s="52">
        <f>INDEX(emprunts!I:I,MATCH($A729,emprunts!$A:$A,0))</f>
        <v>15</v>
      </c>
      <c r="F729" s="18" t="str">
        <f>INDEX(emprunts!P:P,MATCH($A729,emprunts!$A:$A,0))</f>
        <v>Fixe à phase</v>
      </c>
      <c r="G729" s="126" t="str">
        <f>IF(LEFT(A729,3)="vx_","vx",INDEX(Categorie,MATCH($A729,emprunts!$A$2:$A$149,0)))</f>
        <v>Non_st</v>
      </c>
      <c r="H729" s="6">
        <v>2013</v>
      </c>
      <c r="I729">
        <f t="shared" si="126"/>
        <v>1</v>
      </c>
      <c r="J729" s="4"/>
      <c r="K729" t="s">
        <v>155</v>
      </c>
      <c r="L729" s="5">
        <v>36860</v>
      </c>
      <c r="M729" s="5">
        <v>36860</v>
      </c>
      <c r="N729" s="14">
        <v>1524490.17</v>
      </c>
      <c r="O729" s="14">
        <v>149727</v>
      </c>
      <c r="P729" s="4">
        <v>2.86E-2</v>
      </c>
      <c r="Q729" s="14">
        <v>8459.8799999999992</v>
      </c>
      <c r="R729" s="14">
        <v>145556.76999999999</v>
      </c>
      <c r="S729" s="14"/>
      <c r="T729" s="14">
        <v>364.33</v>
      </c>
      <c r="U729" s="14">
        <f>SUM(Q729:S729)</f>
        <v>154016.65</v>
      </c>
      <c r="V729" s="14">
        <f t="shared" si="134"/>
        <v>0</v>
      </c>
      <c r="W729" s="85"/>
      <c r="X729" s="85">
        <f t="shared" si="127"/>
        <v>0</v>
      </c>
      <c r="Y729" s="21">
        <f t="shared" si="125"/>
        <v>3.8125465721071998E-2</v>
      </c>
      <c r="AA729" s="55">
        <f t="shared" si="129"/>
        <v>8459.8799999999992</v>
      </c>
      <c r="AB729" s="55">
        <f t="shared" si="130"/>
        <v>-0.22999999998137355</v>
      </c>
      <c r="AC729" s="55">
        <f t="shared" si="128"/>
        <v>221895.78120547946</v>
      </c>
    </row>
    <row r="730" spans="1:29">
      <c r="A730" t="s">
        <v>10</v>
      </c>
      <c r="B730" s="16" t="str">
        <f>INDEX(emprunts!C:C,MATCH($A730,emprunts!A:A,0))</f>
        <v>Crédit Mutuel</v>
      </c>
      <c r="C730" s="18">
        <f>INDEX(emprunts!M:M,MATCH($A730,emprunts!$A:$A,0))</f>
        <v>36950</v>
      </c>
      <c r="D730" s="18">
        <f>IF(INDEX(emprunts!O:O,MATCH($A730,emprunts!$A:$A,0))="",INDEX(emprunts!N:N,MATCH($A730,emprunts!$A:$A,0)),MIN(INDEX(emprunts!N:N,MATCH($A730,emprunts!$A:$A,0)),INDEX(emprunts!O:O,MATCH($A730,emprunts!$A:$A,0))))</f>
        <v>42429</v>
      </c>
      <c r="E730" s="52">
        <f>INDEX(emprunts!I:I,MATCH($A730,emprunts!$A:$A,0))</f>
        <v>15</v>
      </c>
      <c r="F730" s="18" t="str">
        <f>INDEX(emprunts!P:P,MATCH($A730,emprunts!$A:$A,0))</f>
        <v>Fixe</v>
      </c>
      <c r="G730" s="126" t="str">
        <f>IF(LEFT(A730,3)="vx_","vx",INDEX(Categorie,MATCH($A730,emprunts!$A$2:$A$149,0)))</f>
        <v>Non_st</v>
      </c>
      <c r="H730">
        <v>2013</v>
      </c>
      <c r="I730">
        <f t="shared" si="126"/>
        <v>1</v>
      </c>
      <c r="K730" s="4"/>
      <c r="L730" s="5">
        <v>37315</v>
      </c>
      <c r="M730" s="5">
        <v>38045</v>
      </c>
      <c r="N730" s="14">
        <v>609796.06999999995</v>
      </c>
      <c r="O730" s="58">
        <v>140722</v>
      </c>
      <c r="P730" s="4">
        <v>2.8000000000000001E-2</v>
      </c>
      <c r="Q730" s="14">
        <v>5259.26</v>
      </c>
      <c r="R730" s="14">
        <v>46907.39</v>
      </c>
      <c r="S730" s="14"/>
      <c r="T730" s="14">
        <v>3306.85</v>
      </c>
      <c r="U730" s="14">
        <f>SUM(Q730:S730)</f>
        <v>52166.65</v>
      </c>
      <c r="V730" s="14">
        <f t="shared" si="134"/>
        <v>0</v>
      </c>
      <c r="X730" s="85">
        <f t="shared" si="127"/>
        <v>0</v>
      </c>
      <c r="Y730" s="21">
        <f t="shared" si="125"/>
        <v>3.2122346224777769E-2</v>
      </c>
      <c r="AA730" s="55">
        <f t="shared" si="129"/>
        <v>5259.26</v>
      </c>
      <c r="AB730" s="55">
        <f t="shared" si="130"/>
        <v>-0.60999999998603016</v>
      </c>
      <c r="AC730" s="55">
        <f t="shared" si="128"/>
        <v>163725.89857534246</v>
      </c>
    </row>
    <row r="731" spans="1:29">
      <c r="A731" t="s">
        <v>14</v>
      </c>
      <c r="B731" s="16" t="str">
        <f>INDEX(emprunts!C:C,MATCH($A731,emprunts!A:A,0))</f>
        <v>CDC</v>
      </c>
      <c r="C731" s="18">
        <f>INDEX(emprunts!M:M,MATCH($A731,emprunts!$A:$A,0))</f>
        <v>37006</v>
      </c>
      <c r="D731" s="18">
        <f>IF(INDEX(emprunts!O:O,MATCH($A731,emprunts!$A:$A,0))="",INDEX(emprunts!N:N,MATCH($A731,emprunts!$A:$A,0)),MIN(INDEX(emprunts!N:N,MATCH($A731,emprunts!$A:$A,0)),INDEX(emprunts!O:O,MATCH($A731,emprunts!$A:$A,0))))</f>
        <v>38102</v>
      </c>
      <c r="E731" s="52">
        <f>INDEX(emprunts!I:I,MATCH($A731,emprunts!$A:$A,0))</f>
        <v>3</v>
      </c>
      <c r="F731" s="18" t="str">
        <f>INDEX(emprunts!P:P,MATCH($A731,emprunts!$A:$A,0))</f>
        <v>Fixe</v>
      </c>
      <c r="G731" s="126" t="str">
        <f>IF(LEFT(A731,3)="vx_","vx",INDEX(Categorie,MATCH($A731,emprunts!$A$2:$A$149,0)))</f>
        <v>Non_st</v>
      </c>
      <c r="H731">
        <v>2013</v>
      </c>
      <c r="I731">
        <f t="shared" si="126"/>
        <v>1</v>
      </c>
      <c r="N731"/>
      <c r="O731" s="58"/>
      <c r="Q731" s="58"/>
      <c r="R731" s="58"/>
      <c r="S731" s="58"/>
      <c r="T731" s="58"/>
      <c r="U731" s="58"/>
      <c r="V731" s="14" t="str">
        <f t="shared" si="134"/>
        <v/>
      </c>
      <c r="X731" s="85">
        <f t="shared" si="127"/>
        <v>0</v>
      </c>
      <c r="Y731" s="21" t="str">
        <f t="shared" ref="Y731:Y786" si="135">IF(AND(AA731&gt;0,YEAR(C731)&lt;=H731),AA731/AC731,"")</f>
        <v/>
      </c>
      <c r="AA731" s="55">
        <f t="shared" si="129"/>
        <v>0</v>
      </c>
      <c r="AB731" s="55">
        <f t="shared" si="130"/>
        <v>0</v>
      </c>
      <c r="AC731" s="55">
        <f t="shared" si="128"/>
        <v>0</v>
      </c>
    </row>
    <row r="732" spans="1:29">
      <c r="A732" t="s">
        <v>22</v>
      </c>
      <c r="B732" s="16" t="str">
        <f>INDEX(emprunts!C:C,MATCH($A732,emprunts!A:A,0))</f>
        <v>Dexia CL</v>
      </c>
      <c r="C732" s="18">
        <f>INDEX(emprunts!M:M,MATCH($A732,emprunts!$A:$A,0))</f>
        <v>37221</v>
      </c>
      <c r="D732" s="18">
        <f>IF(INDEX(emprunts!O:O,MATCH($A732,emprunts!$A:$A,0))="",INDEX(emprunts!N:N,MATCH($A732,emprunts!$A:$A,0)),MIN(INDEX(emprunts!N:N,MATCH($A732,emprunts!$A:$A,0)),INDEX(emprunts!O:O,MATCH($A732,emprunts!$A:$A,0))))</f>
        <v>38777</v>
      </c>
      <c r="E732" s="52">
        <f>INDEX(emprunts!I:I,MATCH($A732,emprunts!$A:$A,0))</f>
        <v>20</v>
      </c>
      <c r="F732" s="18" t="str">
        <f>INDEX(emprunts!P:P,MATCH($A732,emprunts!$A:$A,0))</f>
        <v>Annulable</v>
      </c>
      <c r="G732" s="126" t="str">
        <f>IF(LEFT(A732,3)="vx_","vx",INDEX(Categorie,MATCH($A732,emprunts!$A$2:$A$149,0)))</f>
        <v>Struct</v>
      </c>
      <c r="H732">
        <v>2013</v>
      </c>
      <c r="I732">
        <f t="shared" si="126"/>
        <v>1</v>
      </c>
      <c r="N732"/>
      <c r="O732" s="58"/>
      <c r="Q732" s="58"/>
      <c r="R732" s="58"/>
      <c r="S732" s="58"/>
      <c r="T732" s="58"/>
      <c r="U732" s="58"/>
      <c r="V732" s="14" t="str">
        <f t="shared" si="134"/>
        <v/>
      </c>
      <c r="X732" s="85">
        <f t="shared" si="127"/>
        <v>0</v>
      </c>
      <c r="Y732" s="21" t="str">
        <f t="shared" si="135"/>
        <v/>
      </c>
      <c r="AA732" s="55">
        <f t="shared" si="129"/>
        <v>0</v>
      </c>
      <c r="AB732" s="55">
        <f t="shared" si="130"/>
        <v>0</v>
      </c>
      <c r="AC732" s="55">
        <f t="shared" si="128"/>
        <v>0</v>
      </c>
    </row>
    <row r="733" spans="1:29">
      <c r="A733" t="s">
        <v>26</v>
      </c>
      <c r="B733" s="16" t="str">
        <f>INDEX(emprunts!C:C,MATCH($A733,emprunts!A:A,0))</f>
        <v>CDC</v>
      </c>
      <c r="C733" s="18">
        <f>INDEX(emprunts!M:M,MATCH($A733,emprunts!$A:$A,0))</f>
        <v>37281</v>
      </c>
      <c r="D733" s="18">
        <f>IF(INDEX(emprunts!O:O,MATCH($A733,emprunts!$A:$A,0))="",INDEX(emprunts!N:N,MATCH($A733,emprunts!$A:$A,0)),MIN(INDEX(emprunts!N:N,MATCH($A733,emprunts!$A:$A,0)),INDEX(emprunts!O:O,MATCH($A733,emprunts!$A:$A,0))))</f>
        <v>39838</v>
      </c>
      <c r="E733" s="52">
        <f>INDEX(emprunts!I:I,MATCH($A733,emprunts!$A:$A,0))</f>
        <v>7</v>
      </c>
      <c r="F733" s="18" t="str">
        <f>INDEX(emprunts!P:P,MATCH($A733,emprunts!$A:$A,0))</f>
        <v>Fixe</v>
      </c>
      <c r="G733" s="126" t="str">
        <f>IF(LEFT(A733,3)="vx_","vx",INDEX(Categorie,MATCH($A733,emprunts!$A$2:$A$149,0)))</f>
        <v>Non_st</v>
      </c>
      <c r="H733">
        <v>2013</v>
      </c>
      <c r="I733">
        <f t="shared" si="126"/>
        <v>1</v>
      </c>
      <c r="N733"/>
      <c r="O733" s="58"/>
      <c r="Q733" s="58"/>
      <c r="R733" s="58"/>
      <c r="S733" s="58"/>
      <c r="T733" s="58"/>
      <c r="U733" s="58"/>
      <c r="V733" s="14" t="str">
        <f t="shared" si="134"/>
        <v/>
      </c>
      <c r="X733" s="85">
        <f t="shared" si="127"/>
        <v>0</v>
      </c>
      <c r="Y733" s="21" t="str">
        <f t="shared" si="135"/>
        <v/>
      </c>
      <c r="AA733" s="55">
        <f t="shared" si="129"/>
        <v>0</v>
      </c>
      <c r="AB733" s="55">
        <f t="shared" si="130"/>
        <v>0</v>
      </c>
      <c r="AC733" s="55">
        <f t="shared" si="128"/>
        <v>0</v>
      </c>
    </row>
    <row r="734" spans="1:29">
      <c r="A734" t="s">
        <v>28</v>
      </c>
      <c r="B734" s="16" t="str">
        <f>INDEX(emprunts!C:C,MATCH($A734,emprunts!A:A,0))</f>
        <v>CDC</v>
      </c>
      <c r="C734" s="18">
        <f>INDEX(emprunts!M:M,MATCH($A734,emprunts!$A:$A,0))</f>
        <v>37288</v>
      </c>
      <c r="D734" s="18">
        <f>IF(INDEX(emprunts!O:O,MATCH($A734,emprunts!$A:$A,0))="",INDEX(emprunts!N:N,MATCH($A734,emprunts!$A:$A,0)),MIN(INDEX(emprunts!N:N,MATCH($A734,emprunts!$A:$A,0)),INDEX(emprunts!O:O,MATCH($A734,emprunts!$A:$A,0))))</f>
        <v>44593</v>
      </c>
      <c r="E734" s="52">
        <f>INDEX(emprunts!I:I,MATCH($A734,emprunts!$A:$A,0))</f>
        <v>20</v>
      </c>
      <c r="F734" s="18" t="str">
        <f>INDEX(emprunts!P:P,MATCH($A734,emprunts!$A:$A,0))</f>
        <v>Livret A</v>
      </c>
      <c r="G734" s="126" t="str">
        <f>IF(LEFT(A734,3)="vx_","vx",INDEX(Categorie,MATCH($A734,emprunts!$A$2:$A$149,0)))</f>
        <v>Livr_A</v>
      </c>
      <c r="H734">
        <v>2013</v>
      </c>
      <c r="I734">
        <f t="shared" si="126"/>
        <v>1</v>
      </c>
      <c r="K734" s="4"/>
      <c r="L734" s="5">
        <v>37653</v>
      </c>
      <c r="M734" s="5">
        <v>37653</v>
      </c>
      <c r="N734" s="14">
        <v>2137796</v>
      </c>
      <c r="O734" s="58">
        <v>1092861</v>
      </c>
      <c r="P734" s="4">
        <v>1.7899999999999999E-2</v>
      </c>
      <c r="Q734" s="58">
        <v>27029.84</v>
      </c>
      <c r="R734" s="58">
        <v>108464.95</v>
      </c>
      <c r="S734" s="58"/>
      <c r="T734" s="58">
        <v>17448.349999999999</v>
      </c>
      <c r="U734" s="14">
        <f>SUM(Q734:S734)</f>
        <v>135494.79</v>
      </c>
      <c r="V734" s="14">
        <f t="shared" si="134"/>
        <v>0</v>
      </c>
      <c r="X734" s="85">
        <f t="shared" si="127"/>
        <v>0</v>
      </c>
      <c r="Y734" s="21">
        <f t="shared" si="135"/>
        <v>2.5800201554753731E-2</v>
      </c>
      <c r="AA734" s="55">
        <f t="shared" si="129"/>
        <v>29514.160000000003</v>
      </c>
      <c r="AB734" s="55">
        <f t="shared" si="130"/>
        <v>-5.0000000046566129E-2</v>
      </c>
      <c r="AC734" s="55">
        <f t="shared" si="128"/>
        <v>1143950.753150685</v>
      </c>
    </row>
    <row r="735" spans="1:29">
      <c r="A735" t="s">
        <v>31</v>
      </c>
      <c r="B735" s="16" t="str">
        <f>INDEX(emprunts!C:C,MATCH($A735,emprunts!A:A,0))</f>
        <v>CDC</v>
      </c>
      <c r="C735" s="18">
        <f>INDEX(emprunts!M:M,MATCH($A735,emprunts!$A:$A,0))</f>
        <v>37347</v>
      </c>
      <c r="D735" s="18">
        <f>IF(INDEX(emprunts!O:O,MATCH($A735,emprunts!$A:$A,0))="",INDEX(emprunts!N:N,MATCH($A735,emprunts!$A:$A,0)),MIN(INDEX(emprunts!N:N,MATCH($A735,emprunts!$A:$A,0)),INDEX(emprunts!O:O,MATCH($A735,emprunts!$A:$A,0))))</f>
        <v>44652</v>
      </c>
      <c r="E735" s="52">
        <f>INDEX(emprunts!I:I,MATCH($A735,emprunts!$A:$A,0))</f>
        <v>20</v>
      </c>
      <c r="F735" s="18" t="str">
        <f>INDEX(emprunts!P:P,MATCH($A735,emprunts!$A:$A,0))</f>
        <v>Livret A</v>
      </c>
      <c r="G735" s="126" t="str">
        <f>IF(LEFT(A735,3)="vx_","vx",INDEX(Categorie,MATCH($A735,emprunts!$A$2:$A$149,0)))</f>
        <v>Livr_A</v>
      </c>
      <c r="H735">
        <v>2013</v>
      </c>
      <c r="I735">
        <f t="shared" si="126"/>
        <v>1</v>
      </c>
      <c r="N735"/>
      <c r="O735" s="58"/>
      <c r="Q735" s="58"/>
      <c r="R735" s="58"/>
      <c r="S735" s="58"/>
      <c r="T735" s="58"/>
      <c r="U735" s="58"/>
      <c r="V735" s="14" t="str">
        <f t="shared" si="134"/>
        <v/>
      </c>
      <c r="X735" s="85">
        <f t="shared" si="127"/>
        <v>0</v>
      </c>
      <c r="Y735" s="21" t="str">
        <f t="shared" si="135"/>
        <v/>
      </c>
      <c r="AA735" s="55">
        <f t="shared" si="129"/>
        <v>0</v>
      </c>
      <c r="AB735" s="55">
        <f t="shared" si="130"/>
        <v>0</v>
      </c>
      <c r="AC735" s="55">
        <f t="shared" si="128"/>
        <v>0</v>
      </c>
    </row>
    <row r="736" spans="1:29">
      <c r="A736" t="s">
        <v>33</v>
      </c>
      <c r="B736" s="16" t="str">
        <f>INDEX(emprunts!C:C,MATCH($A736,emprunts!A:A,0))</f>
        <v>Crédit Agricole</v>
      </c>
      <c r="C736" s="18">
        <f>INDEX(emprunts!M:M,MATCH($A736,emprunts!$A:$A,0))</f>
        <v>37361</v>
      </c>
      <c r="D736" s="18">
        <f>IF(INDEX(emprunts!O:O,MATCH($A736,emprunts!$A:$A,0))="",INDEX(emprunts!N:N,MATCH($A736,emprunts!$A:$A,0)),MIN(INDEX(emprunts!N:N,MATCH($A736,emprunts!$A:$A,0)),INDEX(emprunts!O:O,MATCH($A736,emprunts!$A:$A,0))))</f>
        <v>42843</v>
      </c>
      <c r="E736" s="52">
        <f>INDEX(emprunts!I:I,MATCH($A736,emprunts!$A:$A,0))</f>
        <v>15</v>
      </c>
      <c r="F736" s="18" t="str">
        <f>INDEX(emprunts!P:P,MATCH($A736,emprunts!$A:$A,0))</f>
        <v>Barrière hors zone EUR</v>
      </c>
      <c r="G736" s="126" t="str">
        <f>IF(LEFT(A736,3)="vx_","vx",INDEX(Categorie,MATCH($A736,emprunts!$A$2:$A$149,0)))</f>
        <v>Struct</v>
      </c>
      <c r="H736">
        <v>2013</v>
      </c>
      <c r="I736">
        <f t="shared" si="126"/>
        <v>1</v>
      </c>
      <c r="K736" s="4"/>
      <c r="L736" s="5">
        <v>37726</v>
      </c>
      <c r="M736" s="5">
        <v>37726</v>
      </c>
      <c r="N736"/>
      <c r="O736" s="58">
        <v>4176870</v>
      </c>
      <c r="P736" s="4">
        <v>2.3E-3</v>
      </c>
      <c r="Q736" s="58">
        <v>13312.68</v>
      </c>
      <c r="R736" s="58">
        <v>957456.29</v>
      </c>
      <c r="S736" s="58"/>
      <c r="T736" s="58">
        <v>6248.14</v>
      </c>
      <c r="U736" s="58">
        <f>SUM(Q736:S736)</f>
        <v>970768.97000000009</v>
      </c>
      <c r="V736" s="14">
        <f t="shared" si="134"/>
        <v>0</v>
      </c>
      <c r="X736" s="85">
        <f t="shared" si="127"/>
        <v>0</v>
      </c>
      <c r="Y736" s="21">
        <f t="shared" si="135"/>
        <v>2.61101867691186E-3</v>
      </c>
      <c r="AA736" s="55">
        <f t="shared" si="129"/>
        <v>12122.55</v>
      </c>
      <c r="AB736" s="55">
        <f t="shared" si="130"/>
        <v>-0.7099999999627471</v>
      </c>
      <c r="AC736" s="55">
        <f t="shared" si="128"/>
        <v>4642843.0815890403</v>
      </c>
    </row>
    <row r="737" spans="1:29">
      <c r="A737" t="s">
        <v>38</v>
      </c>
      <c r="B737" s="16" t="str">
        <f>INDEX(emprunts!C:C,MATCH($A737,emprunts!A:A,0))</f>
        <v>Dexia CL</v>
      </c>
      <c r="C737" s="18">
        <f>INDEX(emprunts!M:M,MATCH($A737,emprunts!$A:$A,0))</f>
        <v>37377</v>
      </c>
      <c r="D737" s="18">
        <f>IF(INDEX(emprunts!O:O,MATCH($A737,emprunts!$A:$A,0))="",INDEX(emprunts!N:N,MATCH($A737,emprunts!$A:$A,0)),MIN(INDEX(emprunts!N:N,MATCH($A737,emprunts!$A:$A,0)),INDEX(emprunts!O:O,MATCH($A737,emprunts!$A:$A,0))))</f>
        <v>38087</v>
      </c>
      <c r="E737" s="52">
        <f>INDEX(emprunts!I:I,MATCH($A737,emprunts!$A:$A,0))</f>
        <v>17</v>
      </c>
      <c r="F737" s="18" t="str">
        <f>INDEX(emprunts!P:P,MATCH($A737,emprunts!$A:$A,0))</f>
        <v>Barrière</v>
      </c>
      <c r="G737" s="126" t="str">
        <f>IF(LEFT(A737,3)="vx_","vx",INDEX(Categorie,MATCH($A737,emprunts!$A$2:$A$149,0)))</f>
        <v>Struct</v>
      </c>
      <c r="H737">
        <v>2013</v>
      </c>
      <c r="I737">
        <f t="shared" si="126"/>
        <v>1</v>
      </c>
      <c r="N737"/>
      <c r="O737" s="58"/>
      <c r="Q737" s="58"/>
      <c r="R737" s="58"/>
      <c r="S737" s="58"/>
      <c r="T737" s="58"/>
      <c r="U737" s="58"/>
      <c r="V737" s="14" t="str">
        <f t="shared" si="134"/>
        <v/>
      </c>
      <c r="X737" s="85">
        <f t="shared" si="127"/>
        <v>0</v>
      </c>
      <c r="Y737" s="21" t="str">
        <f t="shared" si="135"/>
        <v/>
      </c>
      <c r="AA737" s="55">
        <f t="shared" si="129"/>
        <v>0</v>
      </c>
      <c r="AB737" s="55">
        <f t="shared" si="130"/>
        <v>0</v>
      </c>
      <c r="AC737" s="55">
        <f t="shared" si="128"/>
        <v>0</v>
      </c>
    </row>
    <row r="738" spans="1:29">
      <c r="A738" t="s">
        <v>43</v>
      </c>
      <c r="B738" s="16" t="str">
        <f>INDEX(emprunts!C:C,MATCH($A738,emprunts!A:A,0))</f>
        <v>Dexia CL</v>
      </c>
      <c r="C738" s="18">
        <f>INDEX(emprunts!M:M,MATCH($A738,emprunts!$A:$A,0))</f>
        <v>37377</v>
      </c>
      <c r="D738" s="18">
        <f>IF(INDEX(emprunts!O:O,MATCH($A738,emprunts!$A:$A,0))="",INDEX(emprunts!N:N,MATCH($A738,emprunts!$A:$A,0)),MIN(INDEX(emprunts!N:N,MATCH($A738,emprunts!$A:$A,0)),INDEX(emprunts!O:O,MATCH($A738,emprunts!$A:$A,0))))</f>
        <v>38534</v>
      </c>
      <c r="E738" s="52">
        <f>INDEX(emprunts!I:I,MATCH($A738,emprunts!$A:$A,0))</f>
        <v>19.25</v>
      </c>
      <c r="F738" s="18" t="str">
        <f>INDEX(emprunts!P:P,MATCH($A738,emprunts!$A:$A,0))</f>
        <v>Barrière hors zone EUR</v>
      </c>
      <c r="G738" s="126" t="str">
        <f>IF(LEFT(A738,3)="vx_","vx",INDEX(Categorie,MATCH($A738,emprunts!$A$2:$A$149,0)))</f>
        <v>Struct</v>
      </c>
      <c r="H738">
        <v>2013</v>
      </c>
      <c r="I738">
        <f t="shared" si="126"/>
        <v>1</v>
      </c>
      <c r="N738"/>
      <c r="O738" s="58"/>
      <c r="Q738" s="58"/>
      <c r="R738" s="58"/>
      <c r="S738" s="58"/>
      <c r="T738" s="58"/>
      <c r="U738" s="58"/>
      <c r="V738" s="14" t="str">
        <f t="shared" si="134"/>
        <v/>
      </c>
      <c r="X738" s="85">
        <f t="shared" si="127"/>
        <v>0</v>
      </c>
      <c r="Y738" s="21" t="str">
        <f t="shared" si="135"/>
        <v/>
      </c>
      <c r="AA738" s="55">
        <f t="shared" si="129"/>
        <v>0</v>
      </c>
      <c r="AB738" s="55">
        <f t="shared" si="130"/>
        <v>0</v>
      </c>
      <c r="AC738" s="55">
        <f t="shared" si="128"/>
        <v>0</v>
      </c>
    </row>
    <row r="739" spans="1:29">
      <c r="A739" t="s">
        <v>46</v>
      </c>
      <c r="B739" s="16" t="str">
        <f>INDEX(emprunts!C:C,MATCH($A739,emprunts!A:A,0))</f>
        <v>Dexia CL</v>
      </c>
      <c r="C739" s="18">
        <f>INDEX(emprunts!M:M,MATCH($A739,emprunts!$A:$A,0))</f>
        <v>37377</v>
      </c>
      <c r="D739" s="18">
        <f>IF(INDEX(emprunts!O:O,MATCH($A739,emprunts!$A:$A,0))="",INDEX(emprunts!N:N,MATCH($A739,emprunts!$A:$A,0)),MIN(INDEX(emprunts!N:N,MATCH($A739,emprunts!$A:$A,0)),INDEX(emprunts!O:O,MATCH($A739,emprunts!$A:$A,0))))</f>
        <v>38087</v>
      </c>
      <c r="E739" s="52">
        <f>INDEX(emprunts!I:I,MATCH($A739,emprunts!$A:$A,0))</f>
        <v>19.25</v>
      </c>
      <c r="F739" s="18" t="str">
        <f>INDEX(emprunts!P:P,MATCH($A739,emprunts!$A:$A,0))</f>
        <v>Barrière hors zone EUR</v>
      </c>
      <c r="G739" s="126" t="str">
        <f>IF(LEFT(A739,3)="vx_","vx",INDEX(Categorie,MATCH($A739,emprunts!$A$2:$A$149,0)))</f>
        <v>Struct</v>
      </c>
      <c r="H739">
        <v>2013</v>
      </c>
      <c r="I739">
        <f t="shared" si="126"/>
        <v>1</v>
      </c>
      <c r="N739"/>
      <c r="O739" s="58"/>
      <c r="Q739" s="58"/>
      <c r="R739" s="58"/>
      <c r="S739" s="58"/>
      <c r="T739" s="58"/>
      <c r="U739" s="58"/>
      <c r="V739" s="14" t="str">
        <f t="shared" si="134"/>
        <v/>
      </c>
      <c r="X739" s="85">
        <f t="shared" si="127"/>
        <v>0</v>
      </c>
      <c r="Y739" s="21" t="str">
        <f t="shared" si="135"/>
        <v/>
      </c>
      <c r="AA739" s="55">
        <f t="shared" si="129"/>
        <v>0</v>
      </c>
      <c r="AB739" s="55">
        <f t="shared" si="130"/>
        <v>0</v>
      </c>
      <c r="AC739" s="55">
        <f t="shared" si="128"/>
        <v>0</v>
      </c>
    </row>
    <row r="740" spans="1:29">
      <c r="A740" t="s">
        <v>51</v>
      </c>
      <c r="B740" s="16" t="str">
        <f>INDEX(emprunts!C:C,MATCH($A740,emprunts!A:A,0))</f>
        <v>Dexia CL</v>
      </c>
      <c r="C740" s="18">
        <f>INDEX(emprunts!M:M,MATCH($A740,emprunts!$A:$A,0))</f>
        <v>37377</v>
      </c>
      <c r="D740" s="18">
        <f>IF(INDEX(emprunts!O:O,MATCH($A740,emprunts!$A:$A,0))="",INDEX(emprunts!N:N,MATCH($A740,emprunts!$A:$A,0)),MIN(INDEX(emprunts!N:N,MATCH($A740,emprunts!$A:$A,0)),INDEX(emprunts!O:O,MATCH($A740,emprunts!$A:$A,0))))</f>
        <v>38193</v>
      </c>
      <c r="E740" s="52">
        <f>INDEX(emprunts!I:I,MATCH($A740,emprunts!$A:$A,0))</f>
        <v>8</v>
      </c>
      <c r="F740" s="18" t="str">
        <f>INDEX(emprunts!P:P,MATCH($A740,emprunts!$A:$A,0))</f>
        <v>Variable hors zone EUR</v>
      </c>
      <c r="G740" s="126" t="str">
        <f>IF(LEFT(A740,3)="vx_","vx",INDEX(Categorie,MATCH($A740,emprunts!$A$2:$A$149,0)))</f>
        <v>Struct</v>
      </c>
      <c r="H740">
        <v>2013</v>
      </c>
      <c r="I740">
        <f t="shared" si="126"/>
        <v>1</v>
      </c>
      <c r="N740"/>
      <c r="O740" s="58"/>
      <c r="Q740" s="58"/>
      <c r="R740" s="58"/>
      <c r="S740" s="58"/>
      <c r="T740" s="58"/>
      <c r="U740" s="58"/>
      <c r="V740" s="14" t="str">
        <f t="shared" si="134"/>
        <v/>
      </c>
      <c r="X740" s="85">
        <f t="shared" si="127"/>
        <v>0</v>
      </c>
      <c r="Y740" s="21" t="str">
        <f t="shared" si="135"/>
        <v/>
      </c>
      <c r="AA740" s="55">
        <f t="shared" si="129"/>
        <v>0</v>
      </c>
      <c r="AB740" s="55">
        <f t="shared" si="130"/>
        <v>0</v>
      </c>
      <c r="AC740" s="55">
        <f t="shared" si="128"/>
        <v>0</v>
      </c>
    </row>
    <row r="741" spans="1:29">
      <c r="A741" t="s">
        <v>55</v>
      </c>
      <c r="B741" s="16" t="str">
        <f>INDEX(emprunts!C:C,MATCH($A741,emprunts!A:A,0))</f>
        <v>CDC</v>
      </c>
      <c r="C741" s="18">
        <f>INDEX(emprunts!M:M,MATCH($A741,emprunts!$A:$A,0))</f>
        <v>37530</v>
      </c>
      <c r="D741" s="18">
        <f>IF(INDEX(emprunts!O:O,MATCH($A741,emprunts!$A:$A,0))="",INDEX(emprunts!N:N,MATCH($A741,emprunts!$A:$A,0)),MIN(INDEX(emprunts!N:N,MATCH($A741,emprunts!$A:$A,0)),INDEX(emprunts!O:O,MATCH($A741,emprunts!$A:$A,0))))</f>
        <v>37530</v>
      </c>
      <c r="E741" s="52">
        <f>INDEX(emprunts!I:I,MATCH($A741,emprunts!$A:$A,0))</f>
        <v>20</v>
      </c>
      <c r="F741" s="18" t="str">
        <f>INDEX(emprunts!P:P,MATCH($A741,emprunts!$A:$A,0))</f>
        <v>Livret A</v>
      </c>
      <c r="G741" s="126" t="str">
        <f>IF(LEFT(A741,3)="vx_","vx",INDEX(Categorie,MATCH($A741,emprunts!$A$2:$A$149,0)))</f>
        <v>Livr_A</v>
      </c>
      <c r="H741">
        <v>2013</v>
      </c>
      <c r="I741">
        <f t="shared" si="126"/>
        <v>1</v>
      </c>
      <c r="N741"/>
      <c r="O741" s="58"/>
      <c r="Q741" s="58"/>
      <c r="R741" s="58"/>
      <c r="S741" s="58"/>
      <c r="T741" s="58"/>
      <c r="U741" s="58"/>
      <c r="V741" s="14" t="str">
        <f t="shared" si="134"/>
        <v/>
      </c>
      <c r="X741" s="85">
        <f t="shared" si="127"/>
        <v>0</v>
      </c>
      <c r="Y741" s="21" t="str">
        <f t="shared" si="135"/>
        <v/>
      </c>
      <c r="AA741" s="55">
        <f t="shared" si="129"/>
        <v>0</v>
      </c>
      <c r="AB741" s="55">
        <f t="shared" si="130"/>
        <v>0</v>
      </c>
      <c r="AC741" s="55">
        <f t="shared" si="128"/>
        <v>0</v>
      </c>
    </row>
    <row r="742" spans="1:29">
      <c r="A742" t="s">
        <v>57</v>
      </c>
      <c r="B742" s="16" t="str">
        <f>INDEX(emprunts!C:C,MATCH($A742,emprunts!A:A,0))</f>
        <v>Dexia CL</v>
      </c>
      <c r="C742" s="18">
        <f>INDEX(emprunts!M:M,MATCH($A742,emprunts!$A:$A,0))</f>
        <v>37533</v>
      </c>
      <c r="D742" s="18">
        <f>IF(INDEX(emprunts!O:O,MATCH($A742,emprunts!$A:$A,0))="",INDEX(emprunts!N:N,MATCH($A742,emprunts!$A:$A,0)),MIN(INDEX(emprunts!N:N,MATCH($A742,emprunts!$A:$A,0)),INDEX(emprunts!O:O,MATCH($A742,emprunts!$A:$A,0))))</f>
        <v>38193</v>
      </c>
      <c r="E742" s="52">
        <f>INDEX(emprunts!I:I,MATCH($A742,emprunts!$A:$A,0))</f>
        <v>20</v>
      </c>
      <c r="F742" s="18" t="str">
        <f>INDEX(emprunts!P:P,MATCH($A742,emprunts!$A:$A,0))</f>
        <v>Fixe</v>
      </c>
      <c r="G742" s="126" t="str">
        <f>IF(LEFT(A742,3)="vx_","vx",INDEX(Categorie,MATCH($A742,emprunts!$A$2:$A$149,0)))</f>
        <v>Non_st</v>
      </c>
      <c r="H742">
        <v>2013</v>
      </c>
      <c r="I742">
        <f t="shared" si="126"/>
        <v>1</v>
      </c>
      <c r="N742"/>
      <c r="O742" s="58"/>
      <c r="Q742" s="58"/>
      <c r="R742" s="58"/>
      <c r="S742" s="58"/>
      <c r="T742" s="58"/>
      <c r="U742" s="58"/>
      <c r="V742" s="14" t="str">
        <f t="shared" si="134"/>
        <v/>
      </c>
      <c r="X742" s="85">
        <f t="shared" si="127"/>
        <v>0</v>
      </c>
      <c r="Y742" s="21" t="str">
        <f t="shared" si="135"/>
        <v/>
      </c>
      <c r="AA742" s="55">
        <f t="shared" si="129"/>
        <v>0</v>
      </c>
      <c r="AB742" s="55">
        <f t="shared" si="130"/>
        <v>0</v>
      </c>
      <c r="AC742" s="55">
        <f t="shared" si="128"/>
        <v>0</v>
      </c>
    </row>
    <row r="743" spans="1:29">
      <c r="A743" t="s">
        <v>59</v>
      </c>
      <c r="B743" s="16" t="str">
        <f>INDEX(emprunts!C:C,MATCH($A743,emprunts!A:A,0))</f>
        <v>CDC</v>
      </c>
      <c r="C743" s="18">
        <f>INDEX(emprunts!M:M,MATCH($A743,emprunts!$A:$A,0))</f>
        <v>37621</v>
      </c>
      <c r="D743" s="18">
        <f>IF(INDEX(emprunts!O:O,MATCH($A743,emprunts!$A:$A,0))="",INDEX(emprunts!N:N,MATCH($A743,emprunts!$A:$A,0)),MIN(INDEX(emprunts!N:N,MATCH($A743,emprunts!$A:$A,0)),INDEX(emprunts!O:O,MATCH($A743,emprunts!$A:$A,0))))</f>
        <v>44927</v>
      </c>
      <c r="E743" s="52">
        <f>INDEX(emprunts!I:I,MATCH($A743,emprunts!$A:$A,0))</f>
        <v>20</v>
      </c>
      <c r="F743" s="18" t="str">
        <f>INDEX(emprunts!P:P,MATCH($A743,emprunts!$A:$A,0))</f>
        <v>Livret A</v>
      </c>
      <c r="G743" s="126" t="str">
        <f>IF(LEFT(A743,3)="vx_","vx",INDEX(Categorie,MATCH($A743,emprunts!$A$2:$A$149,0)))</f>
        <v>Livr_A</v>
      </c>
      <c r="H743">
        <v>2013</v>
      </c>
      <c r="I743">
        <f t="shared" si="126"/>
        <v>1</v>
      </c>
      <c r="N743"/>
      <c r="O743" s="58"/>
      <c r="Q743" s="58"/>
      <c r="R743" s="58"/>
      <c r="S743" s="58"/>
      <c r="T743" s="58"/>
      <c r="U743" s="58"/>
      <c r="V743" s="14" t="str">
        <f t="shared" si="134"/>
        <v/>
      </c>
      <c r="X743" s="85">
        <f t="shared" si="127"/>
        <v>0</v>
      </c>
      <c r="Y743" s="21" t="str">
        <f t="shared" si="135"/>
        <v/>
      </c>
      <c r="AA743" s="55">
        <f t="shared" si="129"/>
        <v>0</v>
      </c>
      <c r="AB743" s="55">
        <f t="shared" si="130"/>
        <v>0</v>
      </c>
      <c r="AC743" s="55">
        <f t="shared" si="128"/>
        <v>0</v>
      </c>
    </row>
    <row r="744" spans="1:29">
      <c r="A744" t="s">
        <v>64</v>
      </c>
      <c r="B744" s="16" t="str">
        <f>INDEX(emprunts!C:C,MATCH($A744,emprunts!A:A,0))</f>
        <v>Dexia CL</v>
      </c>
      <c r="C744" s="18">
        <f>INDEX(emprunts!M:M,MATCH($A744,emprunts!$A:$A,0))</f>
        <v>37681</v>
      </c>
      <c r="D744" s="18">
        <f>IF(INDEX(emprunts!O:O,MATCH($A744,emprunts!$A:$A,0))="",INDEX(emprunts!N:N,MATCH($A744,emprunts!$A:$A,0)),MIN(INDEX(emprunts!N:N,MATCH($A744,emprunts!$A:$A,0)),INDEX(emprunts!O:O,MATCH($A744,emprunts!$A:$A,0))))</f>
        <v>38443</v>
      </c>
      <c r="E744" s="52">
        <f>INDEX(emprunts!I:I,MATCH($A744,emprunts!$A:$A,0))</f>
        <v>15</v>
      </c>
      <c r="F744" s="18" t="str">
        <f>INDEX(emprunts!P:P,MATCH($A744,emprunts!$A:$A,0))</f>
        <v>Barrière</v>
      </c>
      <c r="G744" s="126" t="str">
        <f>IF(LEFT(A744,3)="vx_","vx",INDEX(Categorie,MATCH($A744,emprunts!$A$2:$A$149,0)))</f>
        <v>Struct</v>
      </c>
      <c r="H744">
        <v>2013</v>
      </c>
      <c r="I744">
        <f t="shared" si="126"/>
        <v>1</v>
      </c>
      <c r="N744"/>
      <c r="O744" s="58"/>
      <c r="Q744" s="58"/>
      <c r="R744" s="58"/>
      <c r="S744" s="58"/>
      <c r="T744" s="58"/>
      <c r="U744" s="58"/>
      <c r="V744" s="14" t="str">
        <f t="shared" si="134"/>
        <v/>
      </c>
      <c r="X744" s="85">
        <f t="shared" si="127"/>
        <v>0</v>
      </c>
      <c r="Y744" s="21" t="str">
        <f t="shared" si="135"/>
        <v/>
      </c>
      <c r="AA744" s="55">
        <f t="shared" si="129"/>
        <v>0</v>
      </c>
      <c r="AB744" s="55">
        <f t="shared" si="130"/>
        <v>0</v>
      </c>
      <c r="AC744" s="55">
        <f t="shared" si="128"/>
        <v>0</v>
      </c>
    </row>
    <row r="745" spans="1:29">
      <c r="A745" t="s">
        <v>71</v>
      </c>
      <c r="B745" s="16" t="str">
        <f>INDEX(emprunts!C:C,MATCH($A745,emprunts!A:A,0))</f>
        <v>Dexia CL</v>
      </c>
      <c r="C745" s="18">
        <f>INDEX(emprunts!M:M,MATCH($A745,emprunts!$A:$A,0))</f>
        <v>37742</v>
      </c>
      <c r="D745" s="18">
        <f>IF(INDEX(emprunts!O:O,MATCH($A745,emprunts!$A:$A,0))="",INDEX(emprunts!N:N,MATCH($A745,emprunts!$A:$A,0)),MIN(INDEX(emprunts!N:N,MATCH($A745,emprunts!$A:$A,0)),INDEX(emprunts!O:O,MATCH($A745,emprunts!$A:$A,0))))</f>
        <v>38443</v>
      </c>
      <c r="E745" s="52">
        <f>INDEX(emprunts!I:I,MATCH($A745,emprunts!$A:$A,0))</f>
        <v>8</v>
      </c>
      <c r="F745" s="18" t="str">
        <f>INDEX(emprunts!P:P,MATCH($A745,emprunts!$A:$A,0))</f>
        <v>Barrière</v>
      </c>
      <c r="G745" s="126" t="str">
        <f>IF(LEFT(A745,3)="vx_","vx",INDEX(Categorie,MATCH($A745,emprunts!$A$2:$A$149,0)))</f>
        <v>Struct</v>
      </c>
      <c r="H745">
        <v>2013</v>
      </c>
      <c r="I745">
        <f t="shared" si="126"/>
        <v>1</v>
      </c>
      <c r="N745"/>
      <c r="O745" s="58"/>
      <c r="Q745" s="58"/>
      <c r="R745" s="58"/>
      <c r="S745" s="58"/>
      <c r="T745" s="58"/>
      <c r="U745" s="58"/>
      <c r="V745" s="14" t="str">
        <f t="shared" si="134"/>
        <v/>
      </c>
      <c r="X745" s="85">
        <f t="shared" si="127"/>
        <v>0</v>
      </c>
      <c r="Y745" s="21" t="str">
        <f t="shared" si="135"/>
        <v/>
      </c>
      <c r="AA745" s="55">
        <f t="shared" si="129"/>
        <v>0</v>
      </c>
      <c r="AB745" s="55">
        <f t="shared" si="130"/>
        <v>0</v>
      </c>
      <c r="AC745" s="55">
        <f t="shared" si="128"/>
        <v>0</v>
      </c>
    </row>
    <row r="746" spans="1:29">
      <c r="A746" t="s">
        <v>78</v>
      </c>
      <c r="B746" s="16" t="str">
        <f>INDEX(emprunts!C:C,MATCH($A746,emprunts!A:A,0))</f>
        <v>Dexia CL</v>
      </c>
      <c r="C746" s="18">
        <f>INDEX(emprunts!M:M,MATCH($A746,emprunts!$A:$A,0))</f>
        <v>37772</v>
      </c>
      <c r="D746" s="18">
        <f>IF(INDEX(emprunts!O:O,MATCH($A746,emprunts!$A:$A,0))="",INDEX(emprunts!N:N,MATCH($A746,emprunts!$A:$A,0)),MIN(INDEX(emprunts!N:N,MATCH($A746,emprunts!$A:$A,0)),INDEX(emprunts!O:O,MATCH($A746,emprunts!$A:$A,0))))</f>
        <v>38443</v>
      </c>
      <c r="E746" s="52">
        <f>INDEX(emprunts!I:I,MATCH($A746,emprunts!$A:$A,0))</f>
        <v>20</v>
      </c>
      <c r="F746" s="18" t="str">
        <f>INDEX(emprunts!P:P,MATCH($A746,emprunts!$A:$A,0))</f>
        <v>Barrière</v>
      </c>
      <c r="G746" s="126" t="str">
        <f>IF(LEFT(A746,3)="vx_","vx",INDEX(Categorie,MATCH($A746,emprunts!$A$2:$A$149,0)))</f>
        <v>Struct</v>
      </c>
      <c r="H746">
        <v>2013</v>
      </c>
      <c r="I746">
        <f t="shared" si="126"/>
        <v>1</v>
      </c>
      <c r="N746"/>
      <c r="O746" s="58"/>
      <c r="Q746" s="58"/>
      <c r="R746" s="58"/>
      <c r="S746" s="58"/>
      <c r="T746" s="58"/>
      <c r="U746" s="58"/>
      <c r="V746" s="14" t="str">
        <f t="shared" si="134"/>
        <v/>
      </c>
      <c r="X746" s="85">
        <f t="shared" si="127"/>
        <v>0</v>
      </c>
      <c r="Y746" s="21" t="str">
        <f t="shared" si="135"/>
        <v/>
      </c>
      <c r="AA746" s="55">
        <f t="shared" si="129"/>
        <v>0</v>
      </c>
      <c r="AB746" s="55">
        <f t="shared" si="130"/>
        <v>0</v>
      </c>
      <c r="AC746" s="55">
        <f t="shared" si="128"/>
        <v>0</v>
      </c>
    </row>
    <row r="747" spans="1:29">
      <c r="A747" t="s">
        <v>79</v>
      </c>
      <c r="B747" s="16" t="str">
        <f>INDEX(emprunts!C:C,MATCH($A747,emprunts!A:A,0))</f>
        <v>Caisse d'Épargne</v>
      </c>
      <c r="C747" s="18">
        <f>INDEX(emprunts!M:M,MATCH($A747,emprunts!$A:$A,0))</f>
        <v>37803</v>
      </c>
      <c r="D747" s="18">
        <f>IF(INDEX(emprunts!O:O,MATCH($A747,emprunts!$A:$A,0))="",INDEX(emprunts!N:N,MATCH($A747,emprunts!$A:$A,0)),MIN(INDEX(emprunts!N:N,MATCH($A747,emprunts!$A:$A,0)),INDEX(emprunts!O:O,MATCH($A747,emprunts!$A:$A,0))))</f>
        <v>38773</v>
      </c>
      <c r="E747" s="52">
        <f>INDEX(emprunts!I:I,MATCH($A747,emprunts!$A:$A,0))</f>
        <v>20</v>
      </c>
      <c r="F747" s="18" t="str">
        <f>INDEX(emprunts!P:P,MATCH($A747,emprunts!$A:$A,0))</f>
        <v>Barrière hors zone EUR</v>
      </c>
      <c r="G747" s="126" t="str">
        <f>IF(LEFT(A747,3)="vx_","vx",INDEX(Categorie,MATCH($A747,emprunts!$A$2:$A$149,0)))</f>
        <v>Struct</v>
      </c>
      <c r="H747">
        <v>2013</v>
      </c>
      <c r="I747">
        <f t="shared" si="126"/>
        <v>1</v>
      </c>
      <c r="N747"/>
      <c r="O747" s="58"/>
      <c r="Q747" s="58"/>
      <c r="R747" s="58"/>
      <c r="S747" s="58"/>
      <c r="T747" s="58"/>
      <c r="U747" s="58"/>
      <c r="V747" s="14" t="str">
        <f t="shared" si="134"/>
        <v/>
      </c>
      <c r="X747" s="85">
        <f t="shared" si="127"/>
        <v>0</v>
      </c>
      <c r="Y747" s="21" t="str">
        <f t="shared" si="135"/>
        <v/>
      </c>
      <c r="AA747" s="55">
        <f t="shared" si="129"/>
        <v>0</v>
      </c>
      <c r="AB747" s="55">
        <f t="shared" si="130"/>
        <v>0</v>
      </c>
      <c r="AC747" s="55">
        <f t="shared" si="128"/>
        <v>0</v>
      </c>
    </row>
    <row r="748" spans="1:29">
      <c r="A748" t="s">
        <v>84</v>
      </c>
      <c r="B748" s="16" t="str">
        <f>INDEX(emprunts!C:C,MATCH($A748,emprunts!A:A,0))</f>
        <v>Caisse d'Épargne</v>
      </c>
      <c r="C748" s="18">
        <f>INDEX(emprunts!M:M,MATCH($A748,emprunts!$A:$A,0))</f>
        <v>37865</v>
      </c>
      <c r="D748" s="18">
        <f>IF(INDEX(emprunts!O:O,MATCH($A748,emprunts!$A:$A,0))="",INDEX(emprunts!N:N,MATCH($A748,emprunts!$A:$A,0)),MIN(INDEX(emprunts!N:N,MATCH($A748,emprunts!$A:$A,0)),INDEX(emprunts!O:O,MATCH($A748,emprunts!$A:$A,0))))</f>
        <v>38961</v>
      </c>
      <c r="E748" s="52">
        <f>INDEX(emprunts!I:I,MATCH($A748,emprunts!$A:$A,0))</f>
        <v>3</v>
      </c>
      <c r="F748" s="18" t="str">
        <f>INDEX(emprunts!P:P,MATCH($A748,emprunts!$A:$A,0))</f>
        <v>Fixe</v>
      </c>
      <c r="G748" s="126" t="str">
        <f>IF(LEFT(A748,3)="vx_","vx",INDEX(Categorie,MATCH($A748,emprunts!$A$2:$A$149,0)))</f>
        <v>Non_st</v>
      </c>
      <c r="H748">
        <v>2013</v>
      </c>
      <c r="I748">
        <f t="shared" ref="I748:I801" si="136">1*(C748&lt;DATE(H748,12,31))</f>
        <v>1</v>
      </c>
      <c r="N748"/>
      <c r="O748" s="58"/>
      <c r="Q748" s="58"/>
      <c r="R748" s="58"/>
      <c r="S748" s="58"/>
      <c r="T748" s="58"/>
      <c r="U748" s="58"/>
      <c r="V748" s="14" t="str">
        <f t="shared" si="134"/>
        <v/>
      </c>
      <c r="X748" s="85">
        <f t="shared" ref="X748:X801" si="137">SUMPRODUCT((De=$A748)*(année_refi=$H748),Montant_transfere)</f>
        <v>0</v>
      </c>
      <c r="Y748" s="21" t="str">
        <f t="shared" si="135"/>
        <v/>
      </c>
      <c r="AA748" s="55">
        <f t="shared" si="129"/>
        <v>0</v>
      </c>
      <c r="AB748" s="55">
        <f t="shared" si="130"/>
        <v>0</v>
      </c>
      <c r="AC748" s="55">
        <f t="shared" si="128"/>
        <v>0</v>
      </c>
    </row>
    <row r="749" spans="1:29">
      <c r="A749" t="s">
        <v>86</v>
      </c>
      <c r="B749" s="16" t="str">
        <f>INDEX(emprunts!C:C,MATCH($A749,emprunts!A:A,0))</f>
        <v>Caisse d'Épargne</v>
      </c>
      <c r="C749" s="18">
        <f>INDEX(emprunts!M:M,MATCH($A749,emprunts!$A:$A,0))</f>
        <v>38022</v>
      </c>
      <c r="D749" s="18">
        <f>IF(INDEX(emprunts!O:O,MATCH($A749,emprunts!$A:$A,0))="",INDEX(emprunts!N:N,MATCH($A749,emprunts!$A:$A,0)),MIN(INDEX(emprunts!N:N,MATCH($A749,emprunts!$A:$A,0)),INDEX(emprunts!O:O,MATCH($A749,emprunts!$A:$A,0))))</f>
        <v>40719</v>
      </c>
      <c r="E749" s="52">
        <f>INDEX(emprunts!I:I,MATCH($A749,emprunts!$A:$A,0))</f>
        <v>7</v>
      </c>
      <c r="F749" s="18" t="str">
        <f>INDEX(emprunts!P:P,MATCH($A749,emprunts!$A:$A,0))</f>
        <v>Fixe</v>
      </c>
      <c r="G749" s="126" t="str">
        <f>IF(LEFT(A749,3)="vx_","vx",INDEX(Categorie,MATCH($A749,emprunts!$A$2:$A$149,0)))</f>
        <v>Non_st</v>
      </c>
      <c r="H749">
        <v>2013</v>
      </c>
      <c r="I749">
        <f t="shared" si="136"/>
        <v>1</v>
      </c>
      <c r="N749"/>
      <c r="O749" s="58"/>
      <c r="Q749" s="58"/>
      <c r="R749" s="58"/>
      <c r="S749" s="58"/>
      <c r="T749" s="58"/>
      <c r="U749" s="58"/>
      <c r="V749" s="14" t="str">
        <f t="shared" si="134"/>
        <v/>
      </c>
      <c r="X749" s="85">
        <f t="shared" si="137"/>
        <v>0</v>
      </c>
      <c r="Y749" s="21" t="str">
        <f t="shared" si="135"/>
        <v/>
      </c>
      <c r="AA749" s="55">
        <f t="shared" si="129"/>
        <v>0</v>
      </c>
      <c r="AB749" s="55">
        <f t="shared" si="130"/>
        <v>0</v>
      </c>
      <c r="AC749" s="55">
        <f t="shared" si="128"/>
        <v>0</v>
      </c>
    </row>
    <row r="750" spans="1:29">
      <c r="A750" t="s">
        <v>88</v>
      </c>
      <c r="B750" s="16" t="str">
        <f>INDEX(emprunts!C:C,MATCH($A750,emprunts!A:A,0))</f>
        <v>Dexia CL</v>
      </c>
      <c r="C750" s="18">
        <f>INDEX(emprunts!M:M,MATCH($A750,emprunts!$A:$A,0))</f>
        <v>38077</v>
      </c>
      <c r="D750" s="18">
        <f>IF(INDEX(emprunts!O:O,MATCH($A750,emprunts!$A:$A,0))="",INDEX(emprunts!N:N,MATCH($A750,emprunts!$A:$A,0)),MIN(INDEX(emprunts!N:N,MATCH($A750,emprunts!$A:$A,0)),INDEX(emprunts!O:O,MATCH($A750,emprunts!$A:$A,0))))</f>
        <v>39173</v>
      </c>
      <c r="E750" s="52">
        <f>INDEX(emprunts!I:I,MATCH($A750,emprunts!$A:$A,0))</f>
        <v>3</v>
      </c>
      <c r="F750" s="18" t="str">
        <f>INDEX(emprunts!P:P,MATCH($A750,emprunts!$A:$A,0))</f>
        <v>Fixe</v>
      </c>
      <c r="G750" s="126" t="str">
        <f>IF(LEFT(A750,3)="vx_","vx",INDEX(Categorie,MATCH($A750,emprunts!$A$2:$A$149,0)))</f>
        <v>Non_st</v>
      </c>
      <c r="H750">
        <v>2013</v>
      </c>
      <c r="I750">
        <f t="shared" si="136"/>
        <v>1</v>
      </c>
      <c r="N750"/>
      <c r="O750" s="58"/>
      <c r="Q750" s="58"/>
      <c r="R750" s="58"/>
      <c r="S750" s="58"/>
      <c r="T750" s="58"/>
      <c r="U750" s="58"/>
      <c r="V750" s="14" t="str">
        <f t="shared" si="134"/>
        <v/>
      </c>
      <c r="X750" s="85">
        <f t="shared" si="137"/>
        <v>0</v>
      </c>
      <c r="Y750" s="21" t="str">
        <f t="shared" si="135"/>
        <v/>
      </c>
      <c r="AA750" s="55">
        <f t="shared" si="129"/>
        <v>0</v>
      </c>
      <c r="AB750" s="55">
        <f t="shared" si="130"/>
        <v>0</v>
      </c>
      <c r="AC750" s="55">
        <f t="shared" si="128"/>
        <v>0</v>
      </c>
    </row>
    <row r="751" spans="1:29">
      <c r="A751" t="s">
        <v>90</v>
      </c>
      <c r="B751" s="16" t="str">
        <f>INDEX(emprunts!C:C,MATCH($A751,emprunts!A:A,0))</f>
        <v>Dexia CL</v>
      </c>
      <c r="C751" s="18">
        <f>INDEX(emprunts!M:M,MATCH($A751,emprunts!$A:$A,0))</f>
        <v>38087</v>
      </c>
      <c r="D751" s="18">
        <f>IF(INDEX(emprunts!O:O,MATCH($A751,emprunts!$A:$A,0))="",INDEX(emprunts!N:N,MATCH($A751,emprunts!$A:$A,0)),MIN(INDEX(emprunts!N:N,MATCH($A751,emprunts!$A:$A,0)),INDEX(emprunts!O:O,MATCH($A751,emprunts!$A:$A,0))))</f>
        <v>38687</v>
      </c>
      <c r="E751" s="52">
        <f>INDEX(emprunts!I:I,MATCH($A751,emprunts!$A:$A,0))</f>
        <v>17.75</v>
      </c>
      <c r="F751" s="18" t="str">
        <f>INDEX(emprunts!P:P,MATCH($A751,emprunts!$A:$A,0))</f>
        <v>Barrière avec multiplicateur</v>
      </c>
      <c r="G751" s="126" t="str">
        <f>IF(LEFT(A751,3)="vx_","vx",INDEX(Categorie,MATCH($A751,emprunts!$A$2:$A$149,0)))</f>
        <v>Struct</v>
      </c>
      <c r="H751">
        <v>2013</v>
      </c>
      <c r="I751">
        <f t="shared" si="136"/>
        <v>1</v>
      </c>
      <c r="N751"/>
      <c r="O751" s="58"/>
      <c r="Q751" s="58"/>
      <c r="R751" s="58"/>
      <c r="S751" s="58"/>
      <c r="T751" s="58"/>
      <c r="U751" s="58"/>
      <c r="V751" s="14" t="str">
        <f t="shared" si="134"/>
        <v/>
      </c>
      <c r="X751" s="85">
        <f t="shared" si="137"/>
        <v>0</v>
      </c>
      <c r="Y751" s="21" t="str">
        <f t="shared" si="135"/>
        <v/>
      </c>
      <c r="AA751" s="55">
        <f t="shared" si="129"/>
        <v>0</v>
      </c>
      <c r="AB751" s="55">
        <f t="shared" si="130"/>
        <v>0</v>
      </c>
      <c r="AC751" s="55">
        <f t="shared" si="128"/>
        <v>0</v>
      </c>
    </row>
    <row r="752" spans="1:29">
      <c r="A752" t="s">
        <v>96</v>
      </c>
      <c r="B752" s="16" t="str">
        <f>INDEX(emprunts!C:C,MATCH($A752,emprunts!A:A,0))</f>
        <v>Dexia CL</v>
      </c>
      <c r="C752" s="18">
        <f>INDEX(emprunts!M:M,MATCH($A752,emprunts!$A:$A,0))</f>
        <v>38087</v>
      </c>
      <c r="D752" s="18">
        <f>IF(INDEX(emprunts!O:O,MATCH($A752,emprunts!$A:$A,0))="",INDEX(emprunts!N:N,MATCH($A752,emprunts!$A:$A,0)),MIN(INDEX(emprunts!N:N,MATCH($A752,emprunts!$A:$A,0)),INDEX(emprunts!O:O,MATCH($A752,emprunts!$A:$A,0))))</f>
        <v>38534</v>
      </c>
      <c r="E752" s="52">
        <f>INDEX(emprunts!I:I,MATCH($A752,emprunts!$A:$A,0))</f>
        <v>15</v>
      </c>
      <c r="F752" s="18" t="str">
        <f>INDEX(emprunts!P:P,MATCH($A752,emprunts!$A:$A,0))</f>
        <v>Barrière hors zone EUR</v>
      </c>
      <c r="G752" s="126" t="str">
        <f>IF(LEFT(A752,3)="vx_","vx",INDEX(Categorie,MATCH($A752,emprunts!$A$2:$A$149,0)))</f>
        <v>Struct</v>
      </c>
      <c r="H752">
        <v>2013</v>
      </c>
      <c r="I752">
        <f t="shared" si="136"/>
        <v>1</v>
      </c>
      <c r="N752"/>
      <c r="O752" s="58"/>
      <c r="Q752" s="58"/>
      <c r="R752" s="58"/>
      <c r="S752" s="58"/>
      <c r="T752" s="58"/>
      <c r="U752" s="58"/>
      <c r="V752" s="14" t="str">
        <f t="shared" si="134"/>
        <v/>
      </c>
      <c r="X752" s="85">
        <f t="shared" si="137"/>
        <v>0</v>
      </c>
      <c r="Y752" s="21" t="str">
        <f t="shared" si="135"/>
        <v/>
      </c>
      <c r="AA752" s="55">
        <f t="shared" si="129"/>
        <v>0</v>
      </c>
      <c r="AB752" s="55">
        <f t="shared" si="130"/>
        <v>0</v>
      </c>
      <c r="AC752" s="55">
        <f t="shared" si="128"/>
        <v>0</v>
      </c>
    </row>
    <row r="753" spans="1:29">
      <c r="A753" t="s">
        <v>98</v>
      </c>
      <c r="B753" s="16" t="str">
        <f>INDEX(emprunts!C:C,MATCH($A753,emprunts!A:A,0))</f>
        <v>Dexia CL</v>
      </c>
      <c r="C753" s="18">
        <f>INDEX(emprunts!M:M,MATCH($A753,emprunts!$A:$A,0))</f>
        <v>38092</v>
      </c>
      <c r="D753" s="18">
        <f>IF(INDEX(emprunts!O:O,MATCH($A753,emprunts!$A:$A,0))="",INDEX(emprunts!N:N,MATCH($A753,emprunts!$A:$A,0)),MIN(INDEX(emprunts!N:N,MATCH($A753,emprunts!$A:$A,0)),INDEX(emprunts!O:O,MATCH($A753,emprunts!$A:$A,0))))</f>
        <v>38443</v>
      </c>
      <c r="E753" s="52">
        <f>INDEX(emprunts!I:I,MATCH($A753,emprunts!$A:$A,0))</f>
        <v>15</v>
      </c>
      <c r="F753" s="18" t="str">
        <f>INDEX(emprunts!P:P,MATCH($A753,emprunts!$A:$A,0))</f>
        <v>Variable hors zone EUR</v>
      </c>
      <c r="G753" s="126" t="str">
        <f>IF(LEFT(A753,3)="vx_","vx",INDEX(Categorie,MATCH($A753,emprunts!$A$2:$A$149,0)))</f>
        <v>Struct</v>
      </c>
      <c r="H753">
        <v>2013</v>
      </c>
      <c r="I753">
        <f t="shared" si="136"/>
        <v>1</v>
      </c>
      <c r="N753"/>
      <c r="O753" s="58"/>
      <c r="Q753" s="58"/>
      <c r="R753" s="58"/>
      <c r="S753" s="58"/>
      <c r="T753" s="58"/>
      <c r="U753" s="58"/>
      <c r="V753" s="14" t="str">
        <f t="shared" si="134"/>
        <v/>
      </c>
      <c r="X753" s="85">
        <f t="shared" si="137"/>
        <v>0</v>
      </c>
      <c r="Y753" s="21" t="str">
        <f t="shared" si="135"/>
        <v/>
      </c>
      <c r="AA753" s="55">
        <f t="shared" si="129"/>
        <v>0</v>
      </c>
      <c r="AB753" s="55">
        <f t="shared" si="130"/>
        <v>0</v>
      </c>
      <c r="AC753" s="55">
        <f t="shared" si="128"/>
        <v>0</v>
      </c>
    </row>
    <row r="754" spans="1:29">
      <c r="A754" t="s">
        <v>101</v>
      </c>
      <c r="B754" s="16" t="str">
        <f>INDEX(emprunts!C:C,MATCH($A754,emprunts!A:A,0))</f>
        <v>Dexia CL</v>
      </c>
      <c r="C754" s="18">
        <f>INDEX(emprunts!M:M,MATCH($A754,emprunts!$A:$A,0))</f>
        <v>38106</v>
      </c>
      <c r="D754" s="18">
        <f>IF(INDEX(emprunts!O:O,MATCH($A754,emprunts!$A:$A,0))="",INDEX(emprunts!N:N,MATCH($A754,emprunts!$A:$A,0)),MIN(INDEX(emprunts!N:N,MATCH($A754,emprunts!$A:$A,0)),INDEX(emprunts!O:O,MATCH($A754,emprunts!$A:$A,0))))</f>
        <v>39203</v>
      </c>
      <c r="E754" s="52">
        <f>INDEX(emprunts!I:I,MATCH($A754,emprunts!$A:$A,0))</f>
        <v>21</v>
      </c>
      <c r="F754" s="18" t="str">
        <f>INDEX(emprunts!P:P,MATCH($A754,emprunts!$A:$A,0))</f>
        <v>Barrière</v>
      </c>
      <c r="G754" s="126" t="str">
        <f>IF(LEFT(A754,3)="vx_","vx",INDEX(Categorie,MATCH($A754,emprunts!$A$2:$A$149,0)))</f>
        <v>Struct</v>
      </c>
      <c r="H754">
        <v>2013</v>
      </c>
      <c r="I754">
        <f t="shared" si="136"/>
        <v>1</v>
      </c>
      <c r="N754"/>
      <c r="O754" s="58"/>
      <c r="Q754" s="58"/>
      <c r="R754" s="58"/>
      <c r="S754" s="58"/>
      <c r="T754" s="58"/>
      <c r="U754" s="58"/>
      <c r="V754" s="14" t="str">
        <f t="shared" si="134"/>
        <v/>
      </c>
      <c r="X754" s="85">
        <f t="shared" si="137"/>
        <v>0</v>
      </c>
      <c r="Y754" s="21" t="str">
        <f t="shared" si="135"/>
        <v/>
      </c>
      <c r="AA754" s="55">
        <f t="shared" si="129"/>
        <v>0</v>
      </c>
      <c r="AB754" s="55">
        <f t="shared" si="130"/>
        <v>0</v>
      </c>
      <c r="AC754" s="55">
        <f t="shared" si="128"/>
        <v>0</v>
      </c>
    </row>
    <row r="755" spans="1:29">
      <c r="A755" t="s">
        <v>105</v>
      </c>
      <c r="B755" s="16" t="str">
        <f>INDEX(emprunts!C:C,MATCH($A755,emprunts!A:A,0))</f>
        <v>Dexia CL</v>
      </c>
      <c r="C755" s="18">
        <f>INDEX(emprunts!M:M,MATCH($A755,emprunts!$A:$A,0))</f>
        <v>38153</v>
      </c>
      <c r="D755" s="18">
        <f>IF(INDEX(emprunts!O:O,MATCH($A755,emprunts!$A:$A,0))="",INDEX(emprunts!N:N,MATCH($A755,emprunts!$A:$A,0)),MIN(INDEX(emprunts!N:N,MATCH($A755,emprunts!$A:$A,0)),INDEX(emprunts!O:O,MATCH($A755,emprunts!$A:$A,0))))</f>
        <v>38384</v>
      </c>
      <c r="E755" s="52">
        <f>INDEX(emprunts!I:I,MATCH($A755,emprunts!$A:$A,0))</f>
        <v>10</v>
      </c>
      <c r="F755" s="18" t="str">
        <f>INDEX(emprunts!P:P,MATCH($A755,emprunts!$A:$A,0))</f>
        <v>Change</v>
      </c>
      <c r="G755" s="126" t="str">
        <f>IF(LEFT(A755,3)="vx_","vx",INDEX(Categorie,MATCH($A755,emprunts!$A$2:$A$149,0)))</f>
        <v>Struct</v>
      </c>
      <c r="H755">
        <v>2013</v>
      </c>
      <c r="I755">
        <f t="shared" si="136"/>
        <v>1</v>
      </c>
      <c r="N755"/>
      <c r="O755" s="58"/>
      <c r="Q755" s="58"/>
      <c r="R755" s="58"/>
      <c r="S755" s="58"/>
      <c r="T755" s="58"/>
      <c r="U755" s="58"/>
      <c r="V755" s="14" t="str">
        <f t="shared" si="134"/>
        <v/>
      </c>
      <c r="X755" s="85">
        <f t="shared" si="137"/>
        <v>0</v>
      </c>
      <c r="Y755" s="21" t="str">
        <f t="shared" si="135"/>
        <v/>
      </c>
      <c r="AA755" s="55">
        <f t="shared" si="129"/>
        <v>0</v>
      </c>
      <c r="AB755" s="55">
        <f t="shared" si="130"/>
        <v>0</v>
      </c>
      <c r="AC755" s="55">
        <f t="shared" si="128"/>
        <v>0</v>
      </c>
    </row>
    <row r="756" spans="1:29">
      <c r="A756" t="s">
        <v>108</v>
      </c>
      <c r="B756" s="16" t="str">
        <f>INDEX(emprunts!C:C,MATCH($A756,emprunts!A:A,0))</f>
        <v>Dexia CL</v>
      </c>
      <c r="C756" s="18">
        <f>INDEX(emprunts!M:M,MATCH($A756,emprunts!$A:$A,0))</f>
        <v>38193</v>
      </c>
      <c r="D756" s="18">
        <f>IF(INDEX(emprunts!O:O,MATCH($A756,emprunts!$A:$A,0))="",INDEX(emprunts!N:N,MATCH($A756,emprunts!$A:$A,0)),MIN(INDEX(emprunts!N:N,MATCH($A756,emprunts!$A:$A,0)),INDEX(emprunts!O:O,MATCH($A756,emprunts!$A:$A,0))))</f>
        <v>38777</v>
      </c>
      <c r="E756" s="52">
        <f>INDEX(emprunts!I:I,MATCH($A756,emprunts!$A:$A,0))</f>
        <v>18</v>
      </c>
      <c r="F756" s="18" t="str">
        <f>INDEX(emprunts!P:P,MATCH($A756,emprunts!$A:$A,0))</f>
        <v>Pente</v>
      </c>
      <c r="G756" s="126" t="str">
        <f>IF(LEFT(A756,3)="vx_","vx",INDEX(Categorie,MATCH($A756,emprunts!$A$2:$A$149,0)))</f>
        <v>Struct</v>
      </c>
      <c r="H756">
        <v>2013</v>
      </c>
      <c r="I756">
        <f t="shared" si="136"/>
        <v>1</v>
      </c>
      <c r="N756"/>
      <c r="O756" s="58"/>
      <c r="Q756" s="58"/>
      <c r="R756" s="58"/>
      <c r="S756" s="58"/>
      <c r="T756" s="58"/>
      <c r="U756" s="58"/>
      <c r="V756" s="14" t="str">
        <f t="shared" si="134"/>
        <v/>
      </c>
      <c r="X756" s="85">
        <f t="shared" si="137"/>
        <v>0</v>
      </c>
      <c r="Y756" s="21" t="str">
        <f t="shared" si="135"/>
        <v/>
      </c>
      <c r="AA756" s="55">
        <f t="shared" si="129"/>
        <v>0</v>
      </c>
      <c r="AB756" s="55">
        <f t="shared" si="130"/>
        <v>0</v>
      </c>
      <c r="AC756" s="55">
        <f t="shared" si="128"/>
        <v>0</v>
      </c>
    </row>
    <row r="757" spans="1:29">
      <c r="A757" t="s">
        <v>117</v>
      </c>
      <c r="B757" s="16" t="str">
        <f>INDEX(emprunts!C:C,MATCH($A757,emprunts!A:A,0))</f>
        <v>Dexia CL</v>
      </c>
      <c r="C757" s="18">
        <f>INDEX(emprunts!M:M,MATCH($A757,emprunts!$A:$A,0))</f>
        <v>38406</v>
      </c>
      <c r="D757" s="18">
        <f>IF(INDEX(emprunts!O:O,MATCH($A757,emprunts!$A:$A,0))="",INDEX(emprunts!N:N,MATCH($A757,emprunts!$A:$A,0)),MIN(INDEX(emprunts!N:N,MATCH($A757,emprunts!$A:$A,0)),INDEX(emprunts!O:O,MATCH($A757,emprunts!$A:$A,0))))</f>
        <v>39114</v>
      </c>
      <c r="E757" s="52">
        <f>INDEX(emprunts!I:I,MATCH($A757,emprunts!$A:$A,0))</f>
        <v>17</v>
      </c>
      <c r="F757" s="18" t="str">
        <f>INDEX(emprunts!P:P,MATCH($A757,emprunts!$A:$A,0))</f>
        <v>Barrière avec multiplicateur</v>
      </c>
      <c r="G757" s="126" t="str">
        <f>IF(LEFT(A757,3)="vx_","vx",INDEX(Categorie,MATCH($A757,emprunts!$A$2:$A$149,0)))</f>
        <v>Struct</v>
      </c>
      <c r="H757">
        <v>2013</v>
      </c>
      <c r="I757">
        <f t="shared" si="136"/>
        <v>1</v>
      </c>
      <c r="N757"/>
      <c r="O757" s="58"/>
      <c r="Q757" s="58"/>
      <c r="R757" s="58"/>
      <c r="S757" s="58"/>
      <c r="T757" s="58"/>
      <c r="U757" s="58"/>
      <c r="V757" s="14" t="str">
        <f t="shared" si="134"/>
        <v/>
      </c>
      <c r="X757" s="85">
        <f t="shared" si="137"/>
        <v>0</v>
      </c>
      <c r="Y757" s="21" t="str">
        <f t="shared" si="135"/>
        <v/>
      </c>
      <c r="AA757" s="55">
        <f t="shared" si="129"/>
        <v>0</v>
      </c>
      <c r="AB757" s="55">
        <f t="shared" si="130"/>
        <v>0</v>
      </c>
      <c r="AC757" s="55">
        <f t="shared" si="128"/>
        <v>0</v>
      </c>
    </row>
    <row r="758" spans="1:29">
      <c r="A758" t="s">
        <v>121</v>
      </c>
      <c r="B758" s="16" t="str">
        <f>INDEX(emprunts!C:C,MATCH($A758,emprunts!A:A,0))</f>
        <v>Dexia CL</v>
      </c>
      <c r="C758" s="18">
        <f>INDEX(emprunts!M:M,MATCH($A758,emprunts!$A:$A,0))</f>
        <v>38406</v>
      </c>
      <c r="D758" s="18">
        <f>IF(INDEX(emprunts!O:O,MATCH($A758,emprunts!$A:$A,0))="",INDEX(emprunts!N:N,MATCH($A758,emprunts!$A:$A,0)),MIN(INDEX(emprunts!N:N,MATCH($A758,emprunts!$A:$A,0)),INDEX(emprunts!O:O,MATCH($A758,emprunts!$A:$A,0))))</f>
        <v>39203</v>
      </c>
      <c r="E758" s="52">
        <f>INDEX(emprunts!I:I,MATCH($A758,emprunts!$A:$A,0))</f>
        <v>15</v>
      </c>
      <c r="F758" s="18" t="str">
        <f>INDEX(emprunts!P:P,MATCH($A758,emprunts!$A:$A,0))</f>
        <v>Variable hors zone EUR</v>
      </c>
      <c r="G758" s="126" t="str">
        <f>IF(LEFT(A758,3)="vx_","vx",INDEX(Categorie,MATCH($A758,emprunts!$A$2:$A$149,0)))</f>
        <v>Struct</v>
      </c>
      <c r="H758">
        <v>2013</v>
      </c>
      <c r="I758">
        <f t="shared" si="136"/>
        <v>1</v>
      </c>
      <c r="N758"/>
      <c r="O758" s="58"/>
      <c r="Q758" s="58"/>
      <c r="R758" s="58"/>
      <c r="S758" s="58"/>
      <c r="T758" s="58"/>
      <c r="U758" s="58"/>
      <c r="V758" s="14" t="str">
        <f t="shared" si="134"/>
        <v/>
      </c>
      <c r="X758" s="85">
        <f t="shared" si="137"/>
        <v>0</v>
      </c>
      <c r="Y758" s="21" t="str">
        <f t="shared" si="135"/>
        <v/>
      </c>
      <c r="AA758" s="55">
        <f t="shared" si="129"/>
        <v>0</v>
      </c>
      <c r="AB758" s="55">
        <f t="shared" si="130"/>
        <v>0</v>
      </c>
      <c r="AC758" s="55">
        <f t="shared" si="128"/>
        <v>0</v>
      </c>
    </row>
    <row r="759" spans="1:29">
      <c r="A759" t="s">
        <v>123</v>
      </c>
      <c r="B759" s="16" t="str">
        <f>INDEX(emprunts!C:C,MATCH($A759,emprunts!A:A,0))</f>
        <v>Crédit Mutuel</v>
      </c>
      <c r="C759" s="18">
        <f>INDEX(emprunts!M:M,MATCH($A759,emprunts!$A:$A,0))</f>
        <v>38435</v>
      </c>
      <c r="D759" s="18">
        <f>IF(INDEX(emprunts!O:O,MATCH($A759,emprunts!$A:$A,0))="",INDEX(emprunts!N:N,MATCH($A759,emprunts!$A:$A,0)),MIN(INDEX(emprunts!N:N,MATCH($A759,emprunts!$A:$A,0)),INDEX(emprunts!O:O,MATCH($A759,emprunts!$A:$A,0))))</f>
        <v>40260</v>
      </c>
      <c r="E759" s="52">
        <f>INDEX(emprunts!I:I,MATCH($A759,emprunts!$A:$A,0))</f>
        <v>5</v>
      </c>
      <c r="F759" s="18" t="str">
        <f>INDEX(emprunts!P:P,MATCH($A759,emprunts!$A:$A,0))</f>
        <v>Fixe</v>
      </c>
      <c r="G759" s="126" t="str">
        <f>IF(LEFT(A759,3)="vx_","vx",INDEX(Categorie,MATCH($A759,emprunts!$A$2:$A$149,0)))</f>
        <v>Non_st</v>
      </c>
      <c r="H759">
        <v>2013</v>
      </c>
      <c r="I759">
        <f t="shared" si="136"/>
        <v>1</v>
      </c>
      <c r="N759"/>
      <c r="O759" s="58"/>
      <c r="Q759" s="58"/>
      <c r="R759" s="58"/>
      <c r="S759" s="58"/>
      <c r="T759" s="58"/>
      <c r="U759" s="58"/>
      <c r="V759" s="14" t="str">
        <f t="shared" si="134"/>
        <v/>
      </c>
      <c r="X759" s="85">
        <f t="shared" si="137"/>
        <v>0</v>
      </c>
      <c r="Y759" s="21" t="str">
        <f t="shared" si="135"/>
        <v/>
      </c>
      <c r="AA759" s="55">
        <f t="shared" si="129"/>
        <v>0</v>
      </c>
      <c r="AB759" s="55">
        <f t="shared" si="130"/>
        <v>0</v>
      </c>
      <c r="AC759" s="55">
        <f t="shared" si="128"/>
        <v>0</v>
      </c>
    </row>
    <row r="760" spans="1:29">
      <c r="A760" t="s">
        <v>125</v>
      </c>
      <c r="B760" s="16" t="str">
        <f>INDEX(emprunts!C:C,MATCH($A760,emprunts!A:A,0))</f>
        <v>Dexia CL</v>
      </c>
      <c r="C760" s="18">
        <f>INDEX(emprunts!M:M,MATCH($A760,emprunts!$A:$A,0))</f>
        <v>38443</v>
      </c>
      <c r="D760" s="18">
        <f>IF(INDEX(emprunts!O:O,MATCH($A760,emprunts!$A:$A,0))="",INDEX(emprunts!N:N,MATCH($A760,emprunts!$A:$A,0)),MIN(INDEX(emprunts!N:N,MATCH($A760,emprunts!$A:$A,0)),INDEX(emprunts!O:O,MATCH($A760,emprunts!$A:$A,0))))</f>
        <v>38899</v>
      </c>
      <c r="E760" s="52">
        <f>INDEX(emprunts!I:I,MATCH($A760,emprunts!$A:$A,0))</f>
        <v>19</v>
      </c>
      <c r="F760" s="18" t="str">
        <f>INDEX(emprunts!P:P,MATCH($A760,emprunts!$A:$A,0))</f>
        <v>Change</v>
      </c>
      <c r="G760" s="126" t="str">
        <f>IF(LEFT(A760,3)="vx_","vx",INDEX(Categorie,MATCH($A760,emprunts!$A$2:$A$149,0)))</f>
        <v>Struct</v>
      </c>
      <c r="H760">
        <v>2013</v>
      </c>
      <c r="I760">
        <f t="shared" si="136"/>
        <v>1</v>
      </c>
      <c r="N760"/>
      <c r="O760" s="58"/>
      <c r="Q760" s="58"/>
      <c r="R760" s="58"/>
      <c r="S760" s="58"/>
      <c r="T760" s="58"/>
      <c r="U760" s="58"/>
      <c r="V760" s="14" t="str">
        <f t="shared" si="134"/>
        <v/>
      </c>
      <c r="X760" s="85">
        <f t="shared" si="137"/>
        <v>0</v>
      </c>
      <c r="Y760" s="21" t="str">
        <f t="shared" si="135"/>
        <v/>
      </c>
      <c r="AA760" s="55">
        <f t="shared" si="129"/>
        <v>0</v>
      </c>
      <c r="AB760" s="55">
        <f t="shared" si="130"/>
        <v>0</v>
      </c>
      <c r="AC760" s="55">
        <f t="shared" ref="AC760:AC817" si="138">MAX(0,(C760-DATE(H760,1,1))/365)*0+MAX(0,MIN(1,(MIN(DATE(H760,12,31),D760)-MAX(DATE(H760,1,1),C760))/365))*(O760+X760+R760/2)</f>
        <v>0</v>
      </c>
    </row>
    <row r="761" spans="1:29">
      <c r="A761" t="s">
        <v>180</v>
      </c>
      <c r="B761" s="16" t="str">
        <f>INDEX(emprunts!C:C,MATCH($A761,emprunts!A:A,0))</f>
        <v>Dexia CL</v>
      </c>
      <c r="C761" s="18">
        <f>INDEX(emprunts!M:M,MATCH($A761,emprunts!$A:$A,0))</f>
        <v>38443</v>
      </c>
      <c r="D761" s="18">
        <f>IF(INDEX(emprunts!O:O,MATCH($A761,emprunts!$A:$A,0))="",INDEX(emprunts!N:N,MATCH($A761,emprunts!$A:$A,0)),MIN(INDEX(emprunts!N:N,MATCH($A761,emprunts!$A:$A,0)),INDEX(emprunts!O:O,MATCH($A761,emprunts!$A:$A,0))))</f>
        <v>39203</v>
      </c>
      <c r="E761" s="52">
        <f>INDEX(emprunts!I:I,MATCH($A761,emprunts!$A:$A,0))</f>
        <v>15</v>
      </c>
      <c r="F761" s="18" t="str">
        <f>INDEX(emprunts!P:P,MATCH($A761,emprunts!$A:$A,0))</f>
        <v>Change</v>
      </c>
      <c r="G761" s="126" t="str">
        <f>IF(LEFT(A761,3)="vx_","vx",INDEX(Categorie,MATCH($A761,emprunts!$A$2:$A$149,0)))</f>
        <v>Struct</v>
      </c>
      <c r="H761">
        <v>2013</v>
      </c>
      <c r="I761">
        <f t="shared" si="136"/>
        <v>1</v>
      </c>
      <c r="N761"/>
      <c r="O761" s="58"/>
      <c r="Q761" s="58"/>
      <c r="R761" s="58"/>
      <c r="S761" s="58"/>
      <c r="T761" s="58"/>
      <c r="U761" s="58"/>
      <c r="V761" s="14" t="str">
        <f t="shared" si="134"/>
        <v/>
      </c>
      <c r="X761" s="85">
        <f t="shared" si="137"/>
        <v>0</v>
      </c>
      <c r="Y761" s="21" t="str">
        <f t="shared" si="135"/>
        <v/>
      </c>
      <c r="AA761" s="55">
        <f t="shared" si="129"/>
        <v>0</v>
      </c>
      <c r="AB761" s="55">
        <f t="shared" si="130"/>
        <v>0</v>
      </c>
      <c r="AC761" s="55">
        <f t="shared" si="138"/>
        <v>0</v>
      </c>
    </row>
    <row r="762" spans="1:29">
      <c r="A762" t="s">
        <v>183</v>
      </c>
      <c r="B762" s="16" t="str">
        <f>INDEX(emprunts!C:C,MATCH($A762,emprunts!A:A,0))</f>
        <v>CDC</v>
      </c>
      <c r="C762" s="18">
        <f>INDEX(emprunts!M:M,MATCH($A762,emprunts!$A:$A,0))</f>
        <v>38473</v>
      </c>
      <c r="D762" s="18">
        <f>IF(INDEX(emprunts!O:O,MATCH($A762,emprunts!$A:$A,0))="",INDEX(emprunts!N:N,MATCH($A762,emprunts!$A:$A,0)),MIN(INDEX(emprunts!N:N,MATCH($A762,emprunts!$A:$A,0)),INDEX(emprunts!O:O,MATCH($A762,emprunts!$A:$A,0))))</f>
        <v>40663</v>
      </c>
      <c r="E762" s="52">
        <f>INDEX(emprunts!I:I,MATCH($A762,emprunts!$A:$A,0))</f>
        <v>6</v>
      </c>
      <c r="F762" s="18" t="str">
        <f>INDEX(emprunts!P:P,MATCH($A762,emprunts!$A:$A,0))</f>
        <v>Variable</v>
      </c>
      <c r="G762" s="126" t="str">
        <f>IF(LEFT(A762,3)="vx_","vx",INDEX(Categorie,MATCH($A762,emprunts!$A$2:$A$149,0)))</f>
        <v>Non_st</v>
      </c>
      <c r="H762">
        <v>2013</v>
      </c>
      <c r="I762">
        <f t="shared" si="136"/>
        <v>1</v>
      </c>
      <c r="N762"/>
      <c r="O762" s="58"/>
      <c r="Q762" s="58"/>
      <c r="R762" s="58"/>
      <c r="S762" s="58"/>
      <c r="T762" s="58"/>
      <c r="U762" s="58"/>
      <c r="V762" s="14" t="str">
        <f t="shared" si="134"/>
        <v/>
      </c>
      <c r="X762" s="85">
        <f t="shared" si="137"/>
        <v>0</v>
      </c>
      <c r="Y762" s="21" t="str">
        <f t="shared" si="135"/>
        <v/>
      </c>
      <c r="AA762" s="55">
        <f t="shared" si="129"/>
        <v>0</v>
      </c>
      <c r="AB762" s="55">
        <f t="shared" si="130"/>
        <v>0</v>
      </c>
      <c r="AC762" s="55">
        <f t="shared" si="138"/>
        <v>0</v>
      </c>
    </row>
    <row r="763" spans="1:29">
      <c r="A763" t="s">
        <v>185</v>
      </c>
      <c r="B763" s="16" t="str">
        <f>INDEX(emprunts!C:C,MATCH($A763,emprunts!A:A,0))</f>
        <v>CDC</v>
      </c>
      <c r="C763" s="18">
        <f>INDEX(emprunts!M:M,MATCH($A763,emprunts!$A:$A,0))</f>
        <v>38473</v>
      </c>
      <c r="D763" s="18">
        <f>IF(INDEX(emprunts!O:O,MATCH($A763,emprunts!$A:$A,0))="",INDEX(emprunts!N:N,MATCH($A763,emprunts!$A:$A,0)),MIN(INDEX(emprunts!N:N,MATCH($A763,emprunts!$A:$A,0)),INDEX(emprunts!O:O,MATCH($A763,emprunts!$A:$A,0))))</f>
        <v>41393</v>
      </c>
      <c r="E763" s="52">
        <f>INDEX(emprunts!I:I,MATCH($A763,emprunts!$A:$A,0))</f>
        <v>8</v>
      </c>
      <c r="F763" s="18" t="str">
        <f>INDEX(emprunts!P:P,MATCH($A763,emprunts!$A:$A,0))</f>
        <v>Variable</v>
      </c>
      <c r="G763" s="126" t="str">
        <f>IF(LEFT(A763,3)="vx_","vx",INDEX(Categorie,MATCH($A763,emprunts!$A$2:$A$149,0)))</f>
        <v>Non_st</v>
      </c>
      <c r="H763">
        <v>2013</v>
      </c>
      <c r="I763">
        <f t="shared" si="136"/>
        <v>1</v>
      </c>
      <c r="N763"/>
      <c r="O763" s="58">
        <v>0</v>
      </c>
      <c r="Q763" s="58">
        <v>6877.86</v>
      </c>
      <c r="R763" s="58">
        <v>464314.98</v>
      </c>
      <c r="S763" s="58"/>
      <c r="T763" s="58">
        <v>0</v>
      </c>
      <c r="U763" s="58">
        <f>SUM(Q763:S763)</f>
        <v>471192.83999999997</v>
      </c>
      <c r="V763" s="14">
        <f t="shared" si="134"/>
        <v>0</v>
      </c>
      <c r="X763" s="85">
        <f t="shared" si="137"/>
        <v>0</v>
      </c>
      <c r="Y763" s="21">
        <f t="shared" si="135"/>
        <v>9.1639242139799015E-2</v>
      </c>
      <c r="AA763" s="55">
        <f t="shared" ref="AA763:AA826" si="139">T763+Q763+S763-SUMPRODUCT(($A$123:$A$1367=$A763)*($H$123:$H$1367=$H763-1),$T$123:$T$1367)</f>
        <v>6877.86</v>
      </c>
      <c r="AB763" s="55">
        <f t="shared" ref="AB763:AB826" si="140">IF(YEAR(C763)=H763,"",O763+R763+X763-W763-SUMPRODUCT(($A$123:$A$1367=$A763)*($H$123:$H$1367=$H763-1),$O$123:$O$1367))</f>
        <v>-2.0000000018626451E-2</v>
      </c>
      <c r="AC763" s="55">
        <f t="shared" si="138"/>
        <v>75053.654301369854</v>
      </c>
    </row>
    <row r="764" spans="1:29">
      <c r="A764" t="s">
        <v>186</v>
      </c>
      <c r="B764" s="16" t="str">
        <f>INDEX(emprunts!C:C,MATCH($A764,emprunts!A:A,0))</f>
        <v>Dexia CL</v>
      </c>
      <c r="C764" s="18">
        <f>INDEX(emprunts!M:M,MATCH($A764,emprunts!$A:$A,0))</f>
        <v>38504</v>
      </c>
      <c r="D764" s="18">
        <f>IF(INDEX(emprunts!O:O,MATCH($A764,emprunts!$A:$A,0))="",INDEX(emprunts!N:N,MATCH($A764,emprunts!$A:$A,0)),MIN(INDEX(emprunts!N:N,MATCH($A764,emprunts!$A:$A,0)),INDEX(emprunts!O:O,MATCH($A764,emprunts!$A:$A,0))))</f>
        <v>38805</v>
      </c>
      <c r="E764" s="52">
        <f>INDEX(emprunts!I:I,MATCH($A764,emprunts!$A:$A,0))</f>
        <v>17.25</v>
      </c>
      <c r="F764" s="18" t="str">
        <f>INDEX(emprunts!P:P,MATCH($A764,emprunts!$A:$A,0))</f>
        <v>Change</v>
      </c>
      <c r="G764" s="126" t="str">
        <f>IF(LEFT(A764,3)="vx_","vx",INDEX(Categorie,MATCH($A764,emprunts!$A$2:$A$149,0)))</f>
        <v>Struct</v>
      </c>
      <c r="H764">
        <v>2013</v>
      </c>
      <c r="I764">
        <f t="shared" si="136"/>
        <v>1</v>
      </c>
      <c r="N764"/>
      <c r="O764" s="58"/>
      <c r="Q764" s="58"/>
      <c r="R764" s="58"/>
      <c r="S764" s="58"/>
      <c r="T764" s="58"/>
      <c r="U764" s="58"/>
      <c r="V764" s="14" t="str">
        <f t="shared" si="134"/>
        <v/>
      </c>
      <c r="X764" s="85">
        <f t="shared" si="137"/>
        <v>0</v>
      </c>
      <c r="Y764" s="21" t="str">
        <f t="shared" si="135"/>
        <v/>
      </c>
      <c r="AA764" s="55">
        <f t="shared" si="139"/>
        <v>0</v>
      </c>
      <c r="AB764" s="55">
        <f t="shared" si="140"/>
        <v>0</v>
      </c>
      <c r="AC764" s="55">
        <f t="shared" si="138"/>
        <v>0</v>
      </c>
    </row>
    <row r="765" spans="1:29">
      <c r="A765" t="s">
        <v>187</v>
      </c>
      <c r="B765" s="16" t="str">
        <f>INDEX(emprunts!C:C,MATCH($A765,emprunts!A:A,0))</f>
        <v>Dexia CL</v>
      </c>
      <c r="C765" s="18">
        <f>INDEX(emprunts!M:M,MATCH($A765,emprunts!$A:$A,0))</f>
        <v>38534</v>
      </c>
      <c r="D765" s="18">
        <f>IF(INDEX(emprunts!O:O,MATCH($A765,emprunts!$A:$A,0))="",INDEX(emprunts!N:N,MATCH($A765,emprunts!$A:$A,0)),MIN(INDEX(emprunts!N:N,MATCH($A765,emprunts!$A:$A,0)),INDEX(emprunts!O:O,MATCH($A765,emprunts!$A:$A,0))))</f>
        <v>38899</v>
      </c>
      <c r="E765" s="52">
        <f>INDEX(emprunts!I:I,MATCH($A765,emprunts!$A:$A,0))</f>
        <v>16</v>
      </c>
      <c r="F765" s="18" t="str">
        <f>INDEX(emprunts!P:P,MATCH($A765,emprunts!$A:$A,0))</f>
        <v>Pente</v>
      </c>
      <c r="G765" s="126" t="str">
        <f>IF(LEFT(A765,3)="vx_","vx",INDEX(Categorie,MATCH($A765,emprunts!$A$2:$A$149,0)))</f>
        <v>Struct</v>
      </c>
      <c r="H765">
        <v>2013</v>
      </c>
      <c r="I765">
        <f t="shared" si="136"/>
        <v>1</v>
      </c>
      <c r="N765"/>
      <c r="O765" s="58"/>
      <c r="Q765" s="58"/>
      <c r="R765" s="58"/>
      <c r="S765" s="58"/>
      <c r="T765" s="58"/>
      <c r="U765" s="58"/>
      <c r="V765" s="14" t="str">
        <f t="shared" si="134"/>
        <v/>
      </c>
      <c r="X765" s="85">
        <f t="shared" si="137"/>
        <v>0</v>
      </c>
      <c r="Y765" s="21" t="str">
        <f t="shared" si="135"/>
        <v/>
      </c>
      <c r="AA765" s="55">
        <f t="shared" si="139"/>
        <v>0</v>
      </c>
      <c r="AB765" s="55">
        <f t="shared" si="140"/>
        <v>0</v>
      </c>
      <c r="AC765" s="55">
        <f t="shared" si="138"/>
        <v>0</v>
      </c>
    </row>
    <row r="766" spans="1:29">
      <c r="A766" t="s">
        <v>193</v>
      </c>
      <c r="B766" s="16" t="str">
        <f>INDEX(emprunts!C:C,MATCH($A766,emprunts!A:A,0))</f>
        <v>Dexia CL</v>
      </c>
      <c r="C766" s="18">
        <f>INDEX(emprunts!M:M,MATCH($A766,emprunts!$A:$A,0))</f>
        <v>38687</v>
      </c>
      <c r="D766" s="18">
        <f>IF(INDEX(emprunts!O:O,MATCH($A766,emprunts!$A:$A,0))="",INDEX(emprunts!N:N,MATCH($A766,emprunts!$A:$A,0)),MIN(INDEX(emprunts!N:N,MATCH($A766,emprunts!$A:$A,0)),INDEX(emprunts!O:O,MATCH($A766,emprunts!$A:$A,0))))</f>
        <v>38805</v>
      </c>
      <c r="E766" s="52">
        <f>INDEX(emprunts!I:I,MATCH($A766,emprunts!$A:$A,0))</f>
        <v>16</v>
      </c>
      <c r="F766" s="18" t="str">
        <f>INDEX(emprunts!P:P,MATCH($A766,emprunts!$A:$A,0))</f>
        <v>Pente</v>
      </c>
      <c r="G766" s="126" t="str">
        <f>IF(LEFT(A766,3)="vx_","vx",INDEX(Categorie,MATCH($A766,emprunts!$A$2:$A$149,0)))</f>
        <v>Struct</v>
      </c>
      <c r="H766">
        <v>2013</v>
      </c>
      <c r="I766">
        <f t="shared" si="136"/>
        <v>1</v>
      </c>
      <c r="N766"/>
      <c r="O766" s="58"/>
      <c r="Q766" s="58"/>
      <c r="R766" s="58"/>
      <c r="S766" s="58"/>
      <c r="T766" s="58"/>
      <c r="U766" s="58"/>
      <c r="V766" s="14" t="str">
        <f t="shared" si="134"/>
        <v/>
      </c>
      <c r="X766" s="85">
        <f t="shared" si="137"/>
        <v>0</v>
      </c>
      <c r="Y766" s="21" t="str">
        <f t="shared" si="135"/>
        <v/>
      </c>
      <c r="AA766" s="55">
        <f t="shared" si="139"/>
        <v>0</v>
      </c>
      <c r="AB766" s="55">
        <f t="shared" si="140"/>
        <v>0</v>
      </c>
      <c r="AC766" s="55">
        <f t="shared" si="138"/>
        <v>0</v>
      </c>
    </row>
    <row r="767" spans="1:29">
      <c r="A767" t="s">
        <v>195</v>
      </c>
      <c r="B767" s="16" t="str">
        <f>INDEX(emprunts!C:C,MATCH($A767,emprunts!A:A,0))</f>
        <v>Dexia CL</v>
      </c>
      <c r="C767" s="18">
        <f>INDEX(emprunts!M:M,MATCH($A767,emprunts!$A:$A,0))</f>
        <v>38709</v>
      </c>
      <c r="D767" s="18">
        <f>IF(INDEX(emprunts!O:O,MATCH($A767,emprunts!$A:$A,0))="",INDEX(emprunts!N:N,MATCH($A767,emprunts!$A:$A,0)),MIN(INDEX(emprunts!N:N,MATCH($A767,emprunts!$A:$A,0)),INDEX(emprunts!O:O,MATCH($A767,emprunts!$A:$A,0))))</f>
        <v>39203</v>
      </c>
      <c r="E767" s="52">
        <f>INDEX(emprunts!I:I,MATCH($A767,emprunts!$A:$A,0))</f>
        <v>18.170000000000002</v>
      </c>
      <c r="F767" s="18" t="str">
        <f>INDEX(emprunts!P:P,MATCH($A767,emprunts!$A:$A,0))</f>
        <v>Pente</v>
      </c>
      <c r="G767" s="126" t="str">
        <f>IF(LEFT(A767,3)="vx_","vx",INDEX(Categorie,MATCH($A767,emprunts!$A$2:$A$149,0)))</f>
        <v>Struct</v>
      </c>
      <c r="H767">
        <v>2013</v>
      </c>
      <c r="I767">
        <f t="shared" si="136"/>
        <v>1</v>
      </c>
      <c r="N767"/>
      <c r="O767" s="58"/>
      <c r="Q767" s="58"/>
      <c r="R767" s="58"/>
      <c r="S767" s="58"/>
      <c r="T767" s="58"/>
      <c r="U767" s="58"/>
      <c r="V767" s="14" t="str">
        <f t="shared" si="134"/>
        <v/>
      </c>
      <c r="X767" s="85">
        <f t="shared" si="137"/>
        <v>0</v>
      </c>
      <c r="Y767" s="21" t="str">
        <f t="shared" si="135"/>
        <v/>
      </c>
      <c r="AA767" s="55">
        <f t="shared" si="139"/>
        <v>0</v>
      </c>
      <c r="AB767" s="55">
        <f t="shared" si="140"/>
        <v>0</v>
      </c>
      <c r="AC767" s="55">
        <f t="shared" si="138"/>
        <v>0</v>
      </c>
    </row>
    <row r="768" spans="1:29">
      <c r="A768" t="s">
        <v>204</v>
      </c>
      <c r="B768" s="16" t="str">
        <f>INDEX(emprunts!C:C,MATCH($A768,emprunts!A:A,0))</f>
        <v>Crédit Agricole</v>
      </c>
      <c r="C768" s="18">
        <f>INDEX(emprunts!M:M,MATCH($A768,emprunts!$A:$A,0))</f>
        <v>38782</v>
      </c>
      <c r="D768" s="18">
        <f>IF(INDEX(emprunts!O:O,MATCH($A768,emprunts!$A:$A,0))="",INDEX(emprunts!N:N,MATCH($A768,emprunts!$A:$A,0)),MIN(INDEX(emprunts!N:N,MATCH($A768,emprunts!$A:$A,0)),INDEX(emprunts!O:O,MATCH($A768,emprunts!$A:$A,0))))</f>
        <v>44257</v>
      </c>
      <c r="E768" s="52">
        <f>INDEX(emprunts!I:I,MATCH($A768,emprunts!$A:$A,0))</f>
        <v>15</v>
      </c>
      <c r="F768" s="18" t="str">
        <f>INDEX(emprunts!P:P,MATCH($A768,emprunts!$A:$A,0))</f>
        <v>Barrière</v>
      </c>
      <c r="G768" s="126" t="str">
        <f>IF(LEFT(A768,3)="vx_","vx",INDEX(Categorie,MATCH($A768,emprunts!$A$2:$A$149,0)))</f>
        <v>Struct</v>
      </c>
      <c r="H768">
        <v>2013</v>
      </c>
      <c r="I768">
        <f t="shared" si="136"/>
        <v>1</v>
      </c>
      <c r="N768"/>
      <c r="O768" s="58"/>
      <c r="Q768" s="58"/>
      <c r="R768" s="58"/>
      <c r="S768" s="58"/>
      <c r="T768" s="58"/>
      <c r="U768" s="58"/>
      <c r="V768" s="14" t="str">
        <f t="shared" si="134"/>
        <v/>
      </c>
      <c r="X768" s="85">
        <f t="shared" si="137"/>
        <v>0</v>
      </c>
      <c r="Y768" s="21" t="str">
        <f t="shared" si="135"/>
        <v/>
      </c>
      <c r="AA768" s="55">
        <f t="shared" si="139"/>
        <v>0</v>
      </c>
      <c r="AB768" s="55">
        <f t="shared" si="140"/>
        <v>0</v>
      </c>
      <c r="AC768" s="55">
        <f t="shared" si="138"/>
        <v>0</v>
      </c>
    </row>
    <row r="769" spans="1:29">
      <c r="A769" t="s">
        <v>207</v>
      </c>
      <c r="B769" s="16" t="str">
        <f>INDEX(emprunts!C:C,MATCH($A769,emprunts!A:A,0))</f>
        <v>Crédit Agricole</v>
      </c>
      <c r="C769" s="18">
        <f>INDEX(emprunts!M:M,MATCH($A769,emprunts!$A:$A,0))</f>
        <v>38782</v>
      </c>
      <c r="D769" s="18">
        <f>IF(INDEX(emprunts!O:O,MATCH($A769,emprunts!$A:$A,0))="",INDEX(emprunts!N:N,MATCH($A769,emprunts!$A:$A,0)),MIN(INDEX(emprunts!N:N,MATCH($A769,emprunts!$A:$A,0)),INDEX(emprunts!O:O,MATCH($A769,emprunts!$A:$A,0))))</f>
        <v>44261</v>
      </c>
      <c r="E769" s="52">
        <f>INDEX(emprunts!I:I,MATCH($A769,emprunts!$A:$A,0))</f>
        <v>15</v>
      </c>
      <c r="F769" s="18" t="str">
        <f>INDEX(emprunts!P:P,MATCH($A769,emprunts!$A:$A,0))</f>
        <v>Fixe</v>
      </c>
      <c r="G769" s="126" t="str">
        <f>IF(LEFT(A769,3)="vx_","vx",INDEX(Categorie,MATCH($A769,emprunts!$A$2:$A$149,0)))</f>
        <v>Non_st</v>
      </c>
      <c r="H769">
        <v>2013</v>
      </c>
      <c r="I769">
        <f t="shared" si="136"/>
        <v>1</v>
      </c>
      <c r="N769"/>
      <c r="O769" s="58">
        <v>2994666</v>
      </c>
      <c r="P769" s="4">
        <v>3.2199999999999999E-2</v>
      </c>
      <c r="Q769" s="58">
        <v>119915.72</v>
      </c>
      <c r="R769" s="58">
        <v>317922.78000000003</v>
      </c>
      <c r="S769" s="58">
        <v>-13112.33</v>
      </c>
      <c r="T769" s="58">
        <v>89101.57</v>
      </c>
      <c r="U769" s="58">
        <f>SUM(Q769:S769)</f>
        <v>424726.17</v>
      </c>
      <c r="V769" s="14">
        <f t="shared" si="134"/>
        <v>0</v>
      </c>
      <c r="X769" s="85">
        <f t="shared" si="137"/>
        <v>0</v>
      </c>
      <c r="Y769" s="21">
        <f t="shared" si="135"/>
        <v>3.3959879422087787E-2</v>
      </c>
      <c r="AA769" s="55">
        <f t="shared" si="139"/>
        <v>106803.39000000001</v>
      </c>
      <c r="AB769" s="55">
        <f t="shared" si="140"/>
        <v>-0.21999999973922968</v>
      </c>
      <c r="AC769" s="55">
        <f t="shared" si="138"/>
        <v>3144987.3149589044</v>
      </c>
    </row>
    <row r="770" spans="1:29">
      <c r="A770" t="s">
        <v>211</v>
      </c>
      <c r="B770" s="16" t="str">
        <f>INDEX(emprunts!C:C,MATCH($A770,emprunts!A:A,0))</f>
        <v>Dexia CL</v>
      </c>
      <c r="C770" s="18">
        <f>INDEX(emprunts!M:M,MATCH($A770,emprunts!$A:$A,0))</f>
        <v>38899</v>
      </c>
      <c r="D770" s="18">
        <f>IF(INDEX(emprunts!O:O,MATCH($A770,emprunts!$A:$A,0))="",INDEX(emprunts!N:N,MATCH($A770,emprunts!$A:$A,0)),MIN(INDEX(emprunts!N:N,MATCH($A770,emprunts!$A:$A,0)),INDEX(emprunts!O:O,MATCH($A770,emprunts!$A:$A,0))))</f>
        <v>40737</v>
      </c>
      <c r="E770" s="52">
        <f>INDEX(emprunts!I:I,MATCH($A770,emprunts!$A:$A,0))</f>
        <v>20</v>
      </c>
      <c r="F770" s="18" t="str">
        <f>INDEX(emprunts!P:P,MATCH($A770,emprunts!$A:$A,0))</f>
        <v>Change</v>
      </c>
      <c r="G770" s="126" t="str">
        <f>IF(LEFT(A770,3)="vx_","vx",INDEX(Categorie,MATCH($A770,emprunts!$A$2:$A$149,0)))</f>
        <v>Struct</v>
      </c>
      <c r="H770">
        <v>2013</v>
      </c>
      <c r="I770">
        <f t="shared" si="136"/>
        <v>1</v>
      </c>
      <c r="N770"/>
      <c r="O770" s="58"/>
      <c r="Q770" s="58"/>
      <c r="R770" s="58"/>
      <c r="S770" s="58"/>
      <c r="T770" s="58"/>
      <c r="U770" s="58"/>
      <c r="V770" s="14" t="str">
        <f t="shared" si="134"/>
        <v/>
      </c>
      <c r="X770" s="85">
        <f t="shared" si="137"/>
        <v>0</v>
      </c>
      <c r="Y770" s="21" t="str">
        <f t="shared" si="135"/>
        <v/>
      </c>
      <c r="AA770" s="55">
        <f t="shared" si="139"/>
        <v>0</v>
      </c>
      <c r="AB770" s="55">
        <f t="shared" si="140"/>
        <v>0</v>
      </c>
      <c r="AC770" s="55">
        <f t="shared" si="138"/>
        <v>0</v>
      </c>
    </row>
    <row r="771" spans="1:29">
      <c r="A771" t="s">
        <v>215</v>
      </c>
      <c r="B771" s="16" t="str">
        <f>INDEX(emprunts!C:C,MATCH($A771,emprunts!A:A,0))</f>
        <v>Dexia CL</v>
      </c>
      <c r="C771" s="18">
        <f>INDEX(emprunts!M:M,MATCH($A771,emprunts!$A:$A,0))</f>
        <v>38991</v>
      </c>
      <c r="D771" s="18">
        <f>IF(INDEX(emprunts!O:O,MATCH($A771,emprunts!$A:$A,0))="",INDEX(emprunts!N:N,MATCH($A771,emprunts!$A:$A,0)),MIN(INDEX(emprunts!N:N,MATCH($A771,emprunts!$A:$A,0)),INDEX(emprunts!O:O,MATCH($A771,emprunts!$A:$A,0))))</f>
        <v>40087</v>
      </c>
      <c r="E771" s="52">
        <f>INDEX(emprunts!I:I,MATCH($A771,emprunts!$A:$A,0))</f>
        <v>19</v>
      </c>
      <c r="F771" s="18" t="str">
        <f>INDEX(emprunts!P:P,MATCH($A771,emprunts!$A:$A,0))</f>
        <v>Change</v>
      </c>
      <c r="G771" s="126" t="str">
        <f>IF(LEFT(A771,3)="vx_","vx",INDEX(Categorie,MATCH($A771,emprunts!$A$2:$A$149,0)))</f>
        <v>Struct</v>
      </c>
      <c r="H771">
        <v>2013</v>
      </c>
      <c r="I771">
        <f t="shared" si="136"/>
        <v>1</v>
      </c>
      <c r="N771"/>
      <c r="O771" s="58"/>
      <c r="Q771" s="58"/>
      <c r="R771" s="58"/>
      <c r="S771" s="58"/>
      <c r="T771" s="58"/>
      <c r="U771" s="58"/>
      <c r="V771" s="14" t="str">
        <f t="shared" si="134"/>
        <v/>
      </c>
      <c r="X771" s="85">
        <f t="shared" si="137"/>
        <v>0</v>
      </c>
      <c r="Y771" s="21" t="str">
        <f t="shared" si="135"/>
        <v/>
      </c>
      <c r="AA771" s="55">
        <f t="shared" si="139"/>
        <v>0</v>
      </c>
      <c r="AB771" s="55">
        <f t="shared" si="140"/>
        <v>0</v>
      </c>
      <c r="AC771" s="55">
        <f t="shared" si="138"/>
        <v>0</v>
      </c>
    </row>
    <row r="772" spans="1:29">
      <c r="A772" t="s">
        <v>217</v>
      </c>
      <c r="B772" s="16" t="str">
        <f>INDEX(emprunts!C:C,MATCH($A772,emprunts!A:A,0))</f>
        <v>Dexia CL</v>
      </c>
      <c r="C772" s="18">
        <f>INDEX(emprunts!M:M,MATCH($A772,emprunts!$A:$A,0))</f>
        <v>38991</v>
      </c>
      <c r="D772" s="18">
        <f>IF(INDEX(emprunts!O:O,MATCH($A772,emprunts!$A:$A,0))="",INDEX(emprunts!N:N,MATCH($A772,emprunts!$A:$A,0)),MIN(INDEX(emprunts!N:N,MATCH($A772,emprunts!$A:$A,0)),INDEX(emprunts!O:O,MATCH($A772,emprunts!$A:$A,0))))</f>
        <v>39783</v>
      </c>
      <c r="E772" s="52">
        <f>INDEX(emprunts!I:I,MATCH($A772,emprunts!$A:$A,0))</f>
        <v>19.170000000000002</v>
      </c>
      <c r="F772" s="18" t="str">
        <f>INDEX(emprunts!P:P,MATCH($A772,emprunts!$A:$A,0))</f>
        <v>Change</v>
      </c>
      <c r="G772" s="126" t="str">
        <f>IF(LEFT(A772,3)="vx_","vx",INDEX(Categorie,MATCH($A772,emprunts!$A$2:$A$149,0)))</f>
        <v>Struct</v>
      </c>
      <c r="H772">
        <v>2013</v>
      </c>
      <c r="I772">
        <f t="shared" si="136"/>
        <v>1</v>
      </c>
      <c r="N772"/>
      <c r="O772" s="58"/>
      <c r="Q772" s="58"/>
      <c r="R772" s="58"/>
      <c r="S772" s="58"/>
      <c r="T772" s="58"/>
      <c r="U772" s="58"/>
      <c r="V772" s="14" t="str">
        <f t="shared" si="134"/>
        <v/>
      </c>
      <c r="X772" s="85">
        <f t="shared" si="137"/>
        <v>0</v>
      </c>
      <c r="Y772" s="21" t="str">
        <f t="shared" si="135"/>
        <v/>
      </c>
      <c r="AA772" s="55">
        <f t="shared" si="139"/>
        <v>0</v>
      </c>
      <c r="AB772" s="55">
        <f t="shared" si="140"/>
        <v>0</v>
      </c>
      <c r="AC772" s="55">
        <f t="shared" si="138"/>
        <v>0</v>
      </c>
    </row>
    <row r="773" spans="1:29">
      <c r="A773" t="s">
        <v>222</v>
      </c>
      <c r="B773" s="16" t="str">
        <f>INDEX(emprunts!C:C,MATCH($A773,emprunts!A:A,0))</f>
        <v>Dexia CL</v>
      </c>
      <c r="C773" s="18">
        <f>INDEX(emprunts!M:M,MATCH($A773,emprunts!$A:$A,0))</f>
        <v>39114</v>
      </c>
      <c r="D773" s="18">
        <f>IF(INDEX(emprunts!O:O,MATCH($A773,emprunts!$A:$A,0))="",INDEX(emprunts!N:N,MATCH($A773,emprunts!$A:$A,0)),MIN(INDEX(emprunts!N:N,MATCH($A773,emprunts!$A:$A,0)),INDEX(emprunts!O:O,MATCH($A773,emprunts!$A:$A,0))))</f>
        <v>39668</v>
      </c>
      <c r="E773" s="52">
        <f>INDEX(emprunts!I:I,MATCH($A773,emprunts!$A:$A,0))</f>
        <v>18.75</v>
      </c>
      <c r="F773" s="18" t="str">
        <f>INDEX(emprunts!P:P,MATCH($A773,emprunts!$A:$A,0))</f>
        <v>Change</v>
      </c>
      <c r="G773" s="126" t="str">
        <f>IF(LEFT(A773,3)="vx_","vx",INDEX(Categorie,MATCH($A773,emprunts!$A$2:$A$149,0)))</f>
        <v>Struct</v>
      </c>
      <c r="H773">
        <v>2013</v>
      </c>
      <c r="I773">
        <f t="shared" si="136"/>
        <v>1</v>
      </c>
      <c r="N773"/>
      <c r="O773" s="58"/>
      <c r="Q773" s="58"/>
      <c r="R773" s="58"/>
      <c r="S773" s="58"/>
      <c r="T773" s="58"/>
      <c r="U773" s="58"/>
      <c r="V773" s="14" t="str">
        <f t="shared" si="134"/>
        <v/>
      </c>
      <c r="X773" s="85">
        <f t="shared" si="137"/>
        <v>0</v>
      </c>
      <c r="Y773" s="21" t="str">
        <f t="shared" si="135"/>
        <v/>
      </c>
      <c r="AA773" s="55">
        <f t="shared" si="139"/>
        <v>0</v>
      </c>
      <c r="AB773" s="55">
        <f t="shared" si="140"/>
        <v>0</v>
      </c>
      <c r="AC773" s="55">
        <f t="shared" si="138"/>
        <v>0</v>
      </c>
    </row>
    <row r="774" spans="1:29">
      <c r="A774" t="s">
        <v>223</v>
      </c>
      <c r="B774" s="16" t="str">
        <f>INDEX(emprunts!C:C,MATCH($A774,emprunts!A:A,0))</f>
        <v>Crédit Agricole</v>
      </c>
      <c r="C774" s="18">
        <f>INDEX(emprunts!M:M,MATCH($A774,emprunts!$A:$A,0))</f>
        <v>39182</v>
      </c>
      <c r="D774" s="18">
        <f>IF(INDEX(emprunts!O:O,MATCH($A774,emprunts!$A:$A,0))="",INDEX(emprunts!N:N,MATCH($A774,emprunts!$A:$A,0)),MIN(INDEX(emprunts!N:N,MATCH($A774,emprunts!$A:$A,0)),INDEX(emprunts!O:O,MATCH($A774,emprunts!$A:$A,0))))</f>
        <v>46813</v>
      </c>
      <c r="E774" s="52">
        <f>INDEX(emprunts!I:I,MATCH($A774,emprunts!$A:$A,0))</f>
        <v>20</v>
      </c>
      <c r="F774" s="18" t="str">
        <f>INDEX(emprunts!P:P,MATCH($A774,emprunts!$A:$A,0))</f>
        <v>Pente</v>
      </c>
      <c r="G774" s="126" t="str">
        <f>IF(LEFT(A774,3)="vx_","vx",INDEX(Categorie,MATCH($A774,emprunts!$A$2:$A$149,0)))</f>
        <v>Struct</v>
      </c>
      <c r="H774">
        <v>2013</v>
      </c>
      <c r="I774">
        <f t="shared" si="136"/>
        <v>1</v>
      </c>
      <c r="N774"/>
      <c r="O774" s="58">
        <v>3969154</v>
      </c>
      <c r="P774" s="4">
        <v>3.5400000000000001E-2</v>
      </c>
      <c r="Q774" s="58">
        <v>144851.69</v>
      </c>
      <c r="R774" s="58">
        <v>197961.47</v>
      </c>
      <c r="S774" s="58"/>
      <c r="T774" s="58">
        <v>11190.81</v>
      </c>
      <c r="U774" s="58">
        <f>SUM(Q774:S774)</f>
        <v>342813.16000000003</v>
      </c>
      <c r="V774" s="14">
        <f t="shared" si="134"/>
        <v>0</v>
      </c>
      <c r="X774" s="85">
        <f t="shared" si="137"/>
        <v>0</v>
      </c>
      <c r="Y774" s="21">
        <f t="shared" si="135"/>
        <v>3.5609116585941701E-2</v>
      </c>
      <c r="AA774" s="55">
        <f t="shared" si="139"/>
        <v>144465.79999999999</v>
      </c>
      <c r="AB774" s="55">
        <f t="shared" si="140"/>
        <v>-0.52999999979510903</v>
      </c>
      <c r="AC774" s="55">
        <f t="shared" si="138"/>
        <v>4056989.1603835616</v>
      </c>
    </row>
    <row r="775" spans="1:29">
      <c r="A775" t="s">
        <v>227</v>
      </c>
      <c r="B775" s="16" t="str">
        <f>INDEX(emprunts!C:C,MATCH($A775,emprunts!A:A,0))</f>
        <v>Dexia CL</v>
      </c>
      <c r="C775" s="18">
        <f>INDEX(emprunts!M:M,MATCH($A775,emprunts!$A:$A,0))</f>
        <v>39203</v>
      </c>
      <c r="D775" s="18">
        <f>IF(INDEX(emprunts!O:O,MATCH($A775,emprunts!$A:$A,0))="",INDEX(emprunts!N:N,MATCH($A775,emprunts!$A:$A,0)),MIN(INDEX(emprunts!N:N,MATCH($A775,emprunts!$A:$A,0)),INDEX(emprunts!O:O,MATCH($A775,emprunts!$A:$A,0))))</f>
        <v>40176</v>
      </c>
      <c r="E775" s="52">
        <f>INDEX(emprunts!I:I,MATCH($A775,emprunts!$A:$A,0))</f>
        <v>17</v>
      </c>
      <c r="F775" s="18" t="str">
        <f>INDEX(emprunts!P:P,MATCH($A775,emprunts!$A:$A,0))</f>
        <v>Courbes</v>
      </c>
      <c r="G775" s="126" t="str">
        <f>IF(LEFT(A775,3)="vx_","vx",INDEX(Categorie,MATCH($A775,emprunts!$A$2:$A$149,0)))</f>
        <v>Struct</v>
      </c>
      <c r="H775">
        <v>2013</v>
      </c>
      <c r="I775">
        <f t="shared" si="136"/>
        <v>1</v>
      </c>
      <c r="N775"/>
      <c r="O775" s="58"/>
      <c r="Q775" s="58"/>
      <c r="R775" s="58"/>
      <c r="S775" s="58"/>
      <c r="T775" s="58"/>
      <c r="U775" s="58"/>
      <c r="V775" s="14" t="str">
        <f t="shared" si="134"/>
        <v/>
      </c>
      <c r="X775" s="85">
        <f t="shared" si="137"/>
        <v>0</v>
      </c>
      <c r="Y775" s="21" t="str">
        <f t="shared" si="135"/>
        <v/>
      </c>
      <c r="AA775" s="55">
        <f t="shared" si="139"/>
        <v>0</v>
      </c>
      <c r="AB775" s="55">
        <f t="shared" si="140"/>
        <v>0</v>
      </c>
      <c r="AC775" s="55">
        <f t="shared" si="138"/>
        <v>0</v>
      </c>
    </row>
    <row r="776" spans="1:29">
      <c r="A776" t="s">
        <v>231</v>
      </c>
      <c r="B776" s="16" t="str">
        <f>INDEX(emprunts!C:C,MATCH($A776,emprunts!A:A,0))</f>
        <v>Dexia CL</v>
      </c>
      <c r="C776" s="18">
        <f>INDEX(emprunts!M:M,MATCH($A776,emprunts!$A:$A,0))</f>
        <v>39203</v>
      </c>
      <c r="D776" s="18">
        <f>IF(INDEX(emprunts!O:O,MATCH($A776,emprunts!$A:$A,0))="",INDEX(emprunts!N:N,MATCH($A776,emprunts!$A:$A,0)),MIN(INDEX(emprunts!N:N,MATCH($A776,emprunts!$A:$A,0)),INDEX(emprunts!O:O,MATCH($A776,emprunts!$A:$A,0))))</f>
        <v>40176</v>
      </c>
      <c r="E776" s="52">
        <f>INDEX(emprunts!I:I,MATCH($A776,emprunts!$A:$A,0))</f>
        <v>16.920000000000002</v>
      </c>
      <c r="F776" s="18" t="str">
        <f>INDEX(emprunts!P:P,MATCH($A776,emprunts!$A:$A,0))</f>
        <v>Écart d'inflation</v>
      </c>
      <c r="G776" s="126" t="str">
        <f>IF(LEFT(A776,3)="vx_","vx",INDEX(Categorie,MATCH($A776,emprunts!$A$2:$A$149,0)))</f>
        <v>Struct</v>
      </c>
      <c r="H776">
        <v>2013</v>
      </c>
      <c r="I776">
        <f t="shared" si="136"/>
        <v>1</v>
      </c>
      <c r="N776"/>
      <c r="O776" s="58"/>
      <c r="Q776" s="58"/>
      <c r="R776" s="58"/>
      <c r="S776" s="58"/>
      <c r="T776" s="58"/>
      <c r="U776" s="58"/>
      <c r="V776" s="14" t="str">
        <f t="shared" si="134"/>
        <v/>
      </c>
      <c r="X776" s="85">
        <f t="shared" si="137"/>
        <v>0</v>
      </c>
      <c r="Y776" s="21" t="str">
        <f t="shared" si="135"/>
        <v/>
      </c>
      <c r="AA776" s="55">
        <f t="shared" si="139"/>
        <v>0</v>
      </c>
      <c r="AB776" s="55">
        <f t="shared" si="140"/>
        <v>0</v>
      </c>
      <c r="AC776" s="55">
        <f t="shared" si="138"/>
        <v>0</v>
      </c>
    </row>
    <row r="777" spans="1:29">
      <c r="A777" t="s">
        <v>233</v>
      </c>
      <c r="B777" s="16" t="str">
        <f>INDEX(emprunts!C:C,MATCH($A777,emprunts!A:A,0))</f>
        <v>Société Générale</v>
      </c>
      <c r="C777" s="18">
        <f>INDEX(emprunts!M:M,MATCH($A777,emprunts!$A:$A,0))</f>
        <v>39226</v>
      </c>
      <c r="D777" s="18">
        <f>IF(INDEX(emprunts!O:O,MATCH($A777,emprunts!$A:$A,0))="",INDEX(emprunts!N:N,MATCH($A777,emprunts!$A:$A,0)),MIN(INDEX(emprunts!N:N,MATCH($A777,emprunts!$A:$A,0)),INDEX(emprunts!O:O,MATCH($A777,emprunts!$A:$A,0))))</f>
        <v>39904</v>
      </c>
      <c r="E777" s="52">
        <f>INDEX(emprunts!I:I,MATCH($A777,emprunts!$A:$A,0))</f>
        <v>19</v>
      </c>
      <c r="F777" s="18" t="str">
        <f>INDEX(emprunts!P:P,MATCH($A777,emprunts!$A:$A,0))</f>
        <v>Change</v>
      </c>
      <c r="G777" s="126" t="str">
        <f>IF(LEFT(A777,3)="vx_","vx",INDEX(Categorie,MATCH($A777,emprunts!$A$2:$A$149,0)))</f>
        <v>Struct</v>
      </c>
      <c r="H777">
        <v>2013</v>
      </c>
      <c r="I777">
        <f t="shared" si="136"/>
        <v>1</v>
      </c>
      <c r="N777"/>
      <c r="O777" s="58"/>
      <c r="Q777" s="58"/>
      <c r="R777" s="58"/>
      <c r="S777" s="58"/>
      <c r="T777" s="58"/>
      <c r="U777" s="58"/>
      <c r="V777" s="14" t="str">
        <f t="shared" si="134"/>
        <v/>
      </c>
      <c r="X777" s="85">
        <f t="shared" si="137"/>
        <v>0</v>
      </c>
      <c r="Y777" s="21" t="str">
        <f t="shared" si="135"/>
        <v/>
      </c>
      <c r="AA777" s="55">
        <f t="shared" si="139"/>
        <v>0</v>
      </c>
      <c r="AB777" s="55">
        <f t="shared" si="140"/>
        <v>0</v>
      </c>
      <c r="AC777" s="55">
        <f t="shared" si="138"/>
        <v>0</v>
      </c>
    </row>
    <row r="778" spans="1:29">
      <c r="A778" t="s">
        <v>235</v>
      </c>
      <c r="B778" s="16" t="str">
        <f>INDEX(emprunts!C:C,MATCH($A778,emprunts!A:A,0))</f>
        <v>Caisse d'Épargne</v>
      </c>
      <c r="C778" s="18">
        <f>INDEX(emprunts!M:M,MATCH($A778,emprunts!$A:$A,0))</f>
        <v>39288</v>
      </c>
      <c r="D778" s="18">
        <f>IF(INDEX(emprunts!O:O,MATCH($A778,emprunts!$A:$A,0))="",INDEX(emprunts!N:N,MATCH($A778,emprunts!$A:$A,0)),MIN(INDEX(emprunts!N:N,MATCH($A778,emprunts!$A:$A,0)),INDEX(emprunts!O:O,MATCH($A778,emprunts!$A:$A,0))))</f>
        <v>40964</v>
      </c>
      <c r="E778" s="52">
        <f>INDEX(emprunts!I:I,MATCH($A778,emprunts!$A:$A,0))</f>
        <v>18.579999999999998</v>
      </c>
      <c r="F778" s="18" t="str">
        <f>INDEX(emprunts!P:P,MATCH($A778,emprunts!$A:$A,0))</f>
        <v>Courbes</v>
      </c>
      <c r="G778" s="126" t="str">
        <f>IF(LEFT(A778,3)="vx_","vx",INDEX(Categorie,MATCH($A778,emprunts!$A$2:$A$149,0)))</f>
        <v>Struct</v>
      </c>
      <c r="H778">
        <v>2013</v>
      </c>
      <c r="I778">
        <f t="shared" si="136"/>
        <v>1</v>
      </c>
      <c r="N778"/>
      <c r="O778" s="58"/>
      <c r="Q778" s="58"/>
      <c r="R778" s="58"/>
      <c r="S778" s="58"/>
      <c r="T778" s="58"/>
      <c r="U778" s="58"/>
      <c r="V778" s="14" t="str">
        <f t="shared" si="134"/>
        <v/>
      </c>
      <c r="X778" s="85">
        <f t="shared" si="137"/>
        <v>0</v>
      </c>
      <c r="Y778" s="21" t="str">
        <f t="shared" si="135"/>
        <v/>
      </c>
      <c r="AA778" s="55">
        <f t="shared" si="139"/>
        <v>0</v>
      </c>
      <c r="AB778" s="55">
        <f t="shared" si="140"/>
        <v>0</v>
      </c>
      <c r="AC778" s="55">
        <f t="shared" si="138"/>
        <v>0</v>
      </c>
    </row>
    <row r="779" spans="1:29">
      <c r="A779" t="s">
        <v>246</v>
      </c>
      <c r="B779" s="16" t="str">
        <f>INDEX(emprunts!C:C,MATCH($A779,emprunts!A:A,0))</f>
        <v>Dexia CL</v>
      </c>
      <c r="C779" s="18">
        <f>INDEX(emprunts!M:M,MATCH($A779,emprunts!$A:$A,0))</f>
        <v>39350</v>
      </c>
      <c r="D779" s="18">
        <f>IF(INDEX(emprunts!O:O,MATCH($A779,emprunts!$A:$A,0))="",INDEX(emprunts!N:N,MATCH($A779,emprunts!$A:$A,0)),MIN(INDEX(emprunts!N:N,MATCH($A779,emprunts!$A:$A,0)),INDEX(emprunts!O:O,MATCH($A779,emprunts!$A:$A,0))))</f>
        <v>40179</v>
      </c>
      <c r="E779" s="52">
        <f>INDEX(emprunts!I:I,MATCH($A779,emprunts!$A:$A,0))</f>
        <v>25.42</v>
      </c>
      <c r="F779" s="18" t="str">
        <f>INDEX(emprunts!P:P,MATCH($A779,emprunts!$A:$A,0))</f>
        <v>Barrière avec multiplicateur</v>
      </c>
      <c r="G779" s="126" t="str">
        <f>IF(LEFT(A779,3)="vx_","vx",INDEX(Categorie,MATCH($A779,emprunts!$A$2:$A$149,0)))</f>
        <v>Struct</v>
      </c>
      <c r="H779">
        <v>2013</v>
      </c>
      <c r="I779">
        <f t="shared" si="136"/>
        <v>1</v>
      </c>
      <c r="N779"/>
      <c r="O779" s="58"/>
      <c r="Q779" s="58"/>
      <c r="R779" s="58"/>
      <c r="S779" s="58"/>
      <c r="T779" s="58"/>
      <c r="U779" s="58"/>
      <c r="V779" s="14" t="str">
        <f t="shared" ref="V779:V840" si="141">IF(U779="","",U779-SUM(Q779:S779))</f>
        <v/>
      </c>
      <c r="X779" s="85">
        <f t="shared" si="137"/>
        <v>0</v>
      </c>
      <c r="Y779" s="21" t="str">
        <f t="shared" si="135"/>
        <v/>
      </c>
      <c r="AA779" s="55">
        <f t="shared" si="139"/>
        <v>0</v>
      </c>
      <c r="AB779" s="55">
        <f t="shared" si="140"/>
        <v>0</v>
      </c>
      <c r="AC779" s="55">
        <f t="shared" si="138"/>
        <v>0</v>
      </c>
    </row>
    <row r="780" spans="1:29">
      <c r="A780" t="s">
        <v>250</v>
      </c>
      <c r="B780" s="16" t="str">
        <f>INDEX(emprunts!C:C,MATCH($A780,emprunts!A:A,0))</f>
        <v>Caisse d'Épargne</v>
      </c>
      <c r="C780" s="18">
        <f>INDEX(emprunts!M:M,MATCH($A780,emprunts!$A:$A,0))</f>
        <v>39447</v>
      </c>
      <c r="D780" s="18">
        <f>IF(INDEX(emprunts!O:O,MATCH($A780,emprunts!$A:$A,0))="",INDEX(emprunts!N:N,MATCH($A780,emprunts!$A:$A,0)),MIN(INDEX(emprunts!N:N,MATCH($A780,emprunts!$A:$A,0)),INDEX(emprunts!O:O,MATCH($A780,emprunts!$A:$A,0))))</f>
        <v>41330</v>
      </c>
      <c r="E780" s="52">
        <f>INDEX(emprunts!I:I,MATCH($A780,emprunts!$A:$A,0))</f>
        <v>20</v>
      </c>
      <c r="F780" s="18" t="str">
        <f>INDEX(emprunts!P:P,MATCH($A780,emprunts!$A:$A,0))</f>
        <v>Courbes</v>
      </c>
      <c r="G780" s="126" t="str">
        <f>IF(LEFT(A780,3)="vx_","vx",INDEX(Categorie,MATCH($A780,emprunts!$A$2:$A$149,0)))</f>
        <v>Struct</v>
      </c>
      <c r="H780">
        <v>2013</v>
      </c>
      <c r="I780">
        <f t="shared" si="136"/>
        <v>1</v>
      </c>
      <c r="N780"/>
      <c r="O780" s="58">
        <v>0</v>
      </c>
      <c r="Q780" s="58">
        <v>95165.14</v>
      </c>
      <c r="R780" s="58">
        <v>202888.24</v>
      </c>
      <c r="S780" s="58"/>
      <c r="T780" s="58">
        <v>0</v>
      </c>
      <c r="U780" s="58">
        <f>SUM(Q780:S780)</f>
        <v>298053.38</v>
      </c>
      <c r="V780" s="14">
        <f t="shared" si="141"/>
        <v>0</v>
      </c>
      <c r="X780" s="85">
        <f t="shared" si="137"/>
        <v>4052000</v>
      </c>
      <c r="Y780" s="21" t="str">
        <f t="shared" si="135"/>
        <v/>
      </c>
      <c r="AA780" s="55">
        <f t="shared" si="139"/>
        <v>-287400.53999999998</v>
      </c>
      <c r="AB780" s="55">
        <f t="shared" si="140"/>
        <v>113.24000000022352</v>
      </c>
      <c r="AC780" s="55">
        <f t="shared" si="138"/>
        <v>625861.44273972604</v>
      </c>
    </row>
    <row r="781" spans="1:29">
      <c r="A781" t="s">
        <v>251</v>
      </c>
      <c r="B781" s="16" t="str">
        <f>INDEX(emprunts!C:C,MATCH($A781,emprunts!A:A,0))</f>
        <v>Dexia CL</v>
      </c>
      <c r="C781" s="18">
        <f>INDEX(emprunts!M:M,MATCH($A781,emprunts!$A:$A,0))</f>
        <v>40148</v>
      </c>
      <c r="D781" s="18">
        <f>IF(INDEX(emprunts!O:O,MATCH($A781,emprunts!$A:$A,0))="",INDEX(emprunts!N:N,MATCH($A781,emprunts!$A:$A,0)),MIN(INDEX(emprunts!N:N,MATCH($A781,emprunts!$A:$A,0)),INDEX(emprunts!O:O,MATCH($A781,emprunts!$A:$A,0))))</f>
        <v>41030</v>
      </c>
      <c r="E781" s="52">
        <f>INDEX(emprunts!I:I,MATCH($A781,emprunts!$A:$A,0))</f>
        <v>20.83</v>
      </c>
      <c r="F781" s="18" t="str">
        <f>INDEX(emprunts!P:P,MATCH($A781,emprunts!$A:$A,0))</f>
        <v>Change</v>
      </c>
      <c r="G781" s="126" t="str">
        <f>IF(LEFT(A781,3)="vx_","vx",INDEX(Categorie,MATCH($A781,emprunts!$A$2:$A$149,0)))</f>
        <v>Struct</v>
      </c>
      <c r="H781">
        <v>2013</v>
      </c>
      <c r="I781">
        <f t="shared" si="136"/>
        <v>1</v>
      </c>
      <c r="N781"/>
      <c r="O781" s="58"/>
      <c r="Q781" s="58"/>
      <c r="R781" s="58"/>
      <c r="S781" s="58"/>
      <c r="T781" s="58"/>
      <c r="U781" s="58"/>
      <c r="V781" s="14" t="str">
        <f t="shared" si="141"/>
        <v/>
      </c>
      <c r="X781" s="85">
        <f t="shared" si="137"/>
        <v>0</v>
      </c>
      <c r="Y781" s="21" t="str">
        <f t="shared" si="135"/>
        <v/>
      </c>
      <c r="AA781" s="55">
        <f t="shared" si="139"/>
        <v>-476797.37</v>
      </c>
      <c r="AB781" s="55">
        <f t="shared" si="140"/>
        <v>0</v>
      </c>
      <c r="AC781" s="55">
        <f t="shared" si="138"/>
        <v>0</v>
      </c>
    </row>
    <row r="782" spans="1:29">
      <c r="A782" t="s">
        <v>253</v>
      </c>
      <c r="B782" s="16" t="str">
        <f>INDEX(emprunts!C:C,MATCH($A782,emprunts!A:A,0))</f>
        <v>Dexia CL</v>
      </c>
      <c r="C782" s="18">
        <f>INDEX(emprunts!M:M,MATCH($A782,emprunts!$A:$A,0))</f>
        <v>40176</v>
      </c>
      <c r="D782" s="18">
        <f>IF(INDEX(emprunts!O:O,MATCH($A782,emprunts!$A:$A,0))="",INDEX(emprunts!N:N,MATCH($A782,emprunts!$A:$A,0)),MIN(INDEX(emprunts!N:N,MATCH($A782,emprunts!$A:$A,0)),INDEX(emprunts!O:O,MATCH($A782,emprunts!$A:$A,0))))</f>
        <v>40299</v>
      </c>
      <c r="E782" s="52">
        <f>INDEX(emprunts!I:I,MATCH($A782,emprunts!$A:$A,0))</f>
        <v>20.83</v>
      </c>
      <c r="F782" s="18" t="str">
        <f>INDEX(emprunts!P:P,MATCH($A782,emprunts!$A:$A,0))</f>
        <v>Courbes</v>
      </c>
      <c r="G782" s="126" t="str">
        <f>IF(LEFT(A782,3)="vx_","vx",INDEX(Categorie,MATCH($A782,emprunts!$A$2:$A$149,0)))</f>
        <v>Struct</v>
      </c>
      <c r="H782">
        <v>2013</v>
      </c>
      <c r="I782">
        <f t="shared" si="136"/>
        <v>1</v>
      </c>
      <c r="N782"/>
      <c r="O782" s="58"/>
      <c r="Q782" s="58"/>
      <c r="R782" s="58"/>
      <c r="S782" s="58"/>
      <c r="T782" s="58"/>
      <c r="U782" s="58"/>
      <c r="V782" s="14" t="str">
        <f t="shared" si="141"/>
        <v/>
      </c>
      <c r="X782" s="85">
        <f t="shared" si="137"/>
        <v>0</v>
      </c>
      <c r="Y782" s="21" t="str">
        <f t="shared" si="135"/>
        <v/>
      </c>
      <c r="AA782" s="55">
        <f t="shared" si="139"/>
        <v>0</v>
      </c>
      <c r="AB782" s="55">
        <f t="shared" si="140"/>
        <v>0</v>
      </c>
      <c r="AC782" s="55">
        <f t="shared" si="138"/>
        <v>0</v>
      </c>
    </row>
    <row r="783" spans="1:29">
      <c r="A783" t="s">
        <v>255</v>
      </c>
      <c r="B783" s="16" t="str">
        <f>INDEX(emprunts!C:C,MATCH($A783,emprunts!A:A,0))</f>
        <v>Dexia CL</v>
      </c>
      <c r="C783" s="18">
        <f>INDEX(emprunts!M:M,MATCH($A783,emprunts!$A:$A,0))</f>
        <v>39668</v>
      </c>
      <c r="D783" s="18">
        <f>IF(INDEX(emprunts!O:O,MATCH($A783,emprunts!$A:$A,0))="",INDEX(emprunts!N:N,MATCH($A783,emprunts!$A:$A,0)),MIN(INDEX(emprunts!N:N,MATCH($A783,emprunts!$A:$A,0)),INDEX(emprunts!O:O,MATCH($A783,emprunts!$A:$A,0))))</f>
        <v>40848</v>
      </c>
      <c r="E783" s="52">
        <f>INDEX(emprunts!I:I,MATCH($A783,emprunts!$A:$A,0))</f>
        <v>25.33</v>
      </c>
      <c r="F783" s="18" t="str">
        <f>INDEX(emprunts!P:P,MATCH($A783,emprunts!$A:$A,0))</f>
        <v>Change</v>
      </c>
      <c r="G783" s="126" t="str">
        <f>IF(LEFT(A783,3)="vx_","vx",INDEX(Categorie,MATCH($A783,emprunts!$A$2:$A$149,0)))</f>
        <v>Struct</v>
      </c>
      <c r="H783">
        <v>2013</v>
      </c>
      <c r="I783">
        <f t="shared" si="136"/>
        <v>1</v>
      </c>
      <c r="N783"/>
      <c r="O783" s="58"/>
      <c r="Q783" s="58"/>
      <c r="R783" s="58"/>
      <c r="S783" s="58"/>
      <c r="T783" s="58"/>
      <c r="U783" s="58"/>
      <c r="V783" s="14" t="str">
        <f t="shared" si="141"/>
        <v/>
      </c>
      <c r="X783" s="85">
        <f t="shared" si="137"/>
        <v>0</v>
      </c>
      <c r="Y783" s="21" t="str">
        <f t="shared" si="135"/>
        <v/>
      </c>
      <c r="AA783" s="55">
        <f t="shared" si="139"/>
        <v>0</v>
      </c>
      <c r="AB783" s="55">
        <f t="shared" si="140"/>
        <v>0</v>
      </c>
      <c r="AC783" s="55">
        <f t="shared" si="138"/>
        <v>0</v>
      </c>
    </row>
    <row r="784" spans="1:29">
      <c r="A784" t="s">
        <v>256</v>
      </c>
      <c r="B784" s="16" t="str">
        <f>INDEX(emprunts!C:C,MATCH($A784,emprunts!A:A,0))</f>
        <v>Dexia CL</v>
      </c>
      <c r="C784" s="18">
        <f>INDEX(emprunts!M:M,MATCH($A784,emprunts!$A:$A,0))</f>
        <v>39668</v>
      </c>
      <c r="D784" s="18">
        <f>IF(INDEX(emprunts!O:O,MATCH($A784,emprunts!$A:$A,0))="",INDEX(emprunts!N:N,MATCH($A784,emprunts!$A:$A,0)),MIN(INDEX(emprunts!N:N,MATCH($A784,emprunts!$A:$A,0)),INDEX(emprunts!O:O,MATCH($A784,emprunts!$A:$A,0))))</f>
        <v>41214</v>
      </c>
      <c r="E784" s="52">
        <f>INDEX(emprunts!I:I,MATCH($A784,emprunts!$A:$A,0))</f>
        <v>25.33</v>
      </c>
      <c r="F784" s="18" t="str">
        <f>INDEX(emprunts!P:P,MATCH($A784,emprunts!$A:$A,0))</f>
        <v>Change</v>
      </c>
      <c r="G784" s="126" t="str">
        <f>IF(LEFT(A784,3)="vx_","vx",INDEX(Categorie,MATCH($A784,emprunts!$A$2:$A$149,0)))</f>
        <v>Struct</v>
      </c>
      <c r="H784">
        <v>2013</v>
      </c>
      <c r="I784">
        <f t="shared" si="136"/>
        <v>1</v>
      </c>
      <c r="N784"/>
      <c r="O784" s="58"/>
      <c r="Q784" s="58"/>
      <c r="R784" s="58"/>
      <c r="S784" s="58"/>
      <c r="T784" s="58"/>
      <c r="U784" s="58"/>
      <c r="V784" s="14" t="str">
        <f t="shared" si="141"/>
        <v/>
      </c>
      <c r="X784" s="85">
        <f t="shared" si="137"/>
        <v>0</v>
      </c>
      <c r="Y784" s="21" t="str">
        <f t="shared" si="135"/>
        <v/>
      </c>
      <c r="AA784" s="55">
        <f t="shared" si="139"/>
        <v>-52609.81</v>
      </c>
      <c r="AB784" s="55">
        <f t="shared" si="140"/>
        <v>0</v>
      </c>
      <c r="AC784" s="55">
        <f t="shared" si="138"/>
        <v>0</v>
      </c>
    </row>
    <row r="785" spans="1:29">
      <c r="A785" t="s">
        <v>257</v>
      </c>
      <c r="B785" s="16" t="str">
        <f>INDEX(emprunts!C:C,MATCH($A785,emprunts!A:A,0))</f>
        <v>Dexia CL</v>
      </c>
      <c r="C785" s="18">
        <f>INDEX(emprunts!M:M,MATCH($A785,emprunts!$A:$A,0))</f>
        <v>41214</v>
      </c>
      <c r="D785" s="18">
        <f>IF(INDEX(emprunts!O:O,MATCH($A785,emprunts!$A:$A,0))="",INDEX(emprunts!N:N,MATCH($A785,emprunts!$A:$A,0)),MIN(INDEX(emprunts!N:N,MATCH($A785,emprunts!$A:$A,0)),INDEX(emprunts!O:O,MATCH($A785,emprunts!$A:$A,0))))</f>
        <v>43040</v>
      </c>
      <c r="E785" s="52">
        <f>INDEX(emprunts!I:I,MATCH($A785,emprunts!$A:$A,0))</f>
        <v>25</v>
      </c>
      <c r="F785" s="18" t="str">
        <f>INDEX(emprunts!P:P,MATCH($A785,emprunts!$A:$A,0))</f>
        <v>Change</v>
      </c>
      <c r="G785" s="126" t="str">
        <f>IF(LEFT(A785,3)="vx_","vx",INDEX(Categorie,MATCH($A785,emprunts!$A$2:$A$149,0)))</f>
        <v>Struct</v>
      </c>
      <c r="H785">
        <v>2013</v>
      </c>
      <c r="I785">
        <f t="shared" si="136"/>
        <v>1</v>
      </c>
      <c r="N785"/>
      <c r="O785" s="58">
        <v>8546563</v>
      </c>
      <c r="P785" s="4">
        <v>2.9600000000000001E-2</v>
      </c>
      <c r="Q785" s="58">
        <v>320042.99</v>
      </c>
      <c r="R785" s="58">
        <v>246162.08</v>
      </c>
      <c r="S785" s="58"/>
      <c r="T785" s="58">
        <v>42163.05</v>
      </c>
      <c r="U785" s="58">
        <f>SUM(Q785:S785)</f>
        <v>566205.06999999995</v>
      </c>
      <c r="V785" s="14">
        <f t="shared" si="141"/>
        <v>0</v>
      </c>
      <c r="X785" s="85">
        <f t="shared" si="137"/>
        <v>0</v>
      </c>
      <c r="Y785" s="21">
        <f t="shared" si="135"/>
        <v>3.3148923624304667E-2</v>
      </c>
      <c r="AA785" s="55">
        <f t="shared" si="139"/>
        <v>286602</v>
      </c>
      <c r="AB785" s="55">
        <f t="shared" si="140"/>
        <v>8.0000000074505806E-2</v>
      </c>
      <c r="AC785" s="55">
        <f t="shared" si="138"/>
        <v>8645891.5905753411</v>
      </c>
    </row>
    <row r="786" spans="1:29">
      <c r="A786" t="s">
        <v>261</v>
      </c>
      <c r="B786" s="16" t="str">
        <f>INDEX(emprunts!C:C,MATCH($A786,emprunts!A:A,0))</f>
        <v>Dexia CL</v>
      </c>
      <c r="C786" s="18">
        <f>INDEX(emprunts!M:M,MATCH($A786,emprunts!$A:$A,0))</f>
        <v>39783</v>
      </c>
      <c r="D786" s="18">
        <f>IF(INDEX(emprunts!O:O,MATCH($A786,emprunts!$A:$A,0))="",INDEX(emprunts!N:N,MATCH($A786,emprunts!$A:$A,0)),MIN(INDEX(emprunts!N:N,MATCH($A786,emprunts!$A:$A,0)),INDEX(emprunts!O:O,MATCH($A786,emprunts!$A:$A,0))))</f>
        <v>40513</v>
      </c>
      <c r="E786" s="52">
        <f>INDEX(emprunts!I:I,MATCH($A786,emprunts!$A:$A,0))</f>
        <v>17</v>
      </c>
      <c r="F786" s="18" t="str">
        <f>INDEX(emprunts!P:P,MATCH($A786,emprunts!$A:$A,0))</f>
        <v>Change</v>
      </c>
      <c r="G786" s="126" t="str">
        <f>IF(LEFT(A786,3)="vx_","vx",INDEX(Categorie,MATCH($A786,emprunts!$A$2:$A$149,0)))</f>
        <v>Struct</v>
      </c>
      <c r="H786">
        <v>2013</v>
      </c>
      <c r="I786">
        <f t="shared" si="136"/>
        <v>1</v>
      </c>
      <c r="N786"/>
      <c r="O786" s="58"/>
      <c r="Q786" s="58"/>
      <c r="R786" s="58"/>
      <c r="S786" s="58"/>
      <c r="T786" s="58"/>
      <c r="U786" s="58"/>
      <c r="V786" s="14" t="str">
        <f t="shared" si="141"/>
        <v/>
      </c>
      <c r="X786" s="85">
        <f t="shared" si="137"/>
        <v>0</v>
      </c>
      <c r="Y786" s="21" t="str">
        <f t="shared" si="135"/>
        <v/>
      </c>
      <c r="AA786" s="55">
        <f t="shared" si="139"/>
        <v>0</v>
      </c>
      <c r="AB786" s="55">
        <f t="shared" si="140"/>
        <v>0</v>
      </c>
      <c r="AC786" s="55">
        <f t="shared" si="138"/>
        <v>0</v>
      </c>
    </row>
    <row r="787" spans="1:29">
      <c r="A787" t="s">
        <v>263</v>
      </c>
      <c r="B787" s="16" t="str">
        <f>INDEX(emprunts!C:C,MATCH($A787,emprunts!A:A,0))</f>
        <v>Dexia CL</v>
      </c>
      <c r="C787" s="18">
        <f>INDEX(emprunts!M:M,MATCH($A787,emprunts!$A:$A,0))</f>
        <v>39783</v>
      </c>
      <c r="D787" s="18">
        <f>IF(INDEX(emprunts!O:O,MATCH($A787,emprunts!$A:$A,0))="",INDEX(emprunts!N:N,MATCH($A787,emprunts!$A:$A,0)),MIN(INDEX(emprunts!N:N,MATCH($A787,emprunts!$A:$A,0)),INDEX(emprunts!O:O,MATCH($A787,emprunts!$A:$A,0))))</f>
        <v>41244</v>
      </c>
      <c r="E787" s="52">
        <f>INDEX(emprunts!I:I,MATCH($A787,emprunts!$A:$A,0))</f>
        <v>25</v>
      </c>
      <c r="F787" s="18" t="str">
        <f>INDEX(emprunts!P:P,MATCH($A787,emprunts!$A:$A,0))</f>
        <v>Pente</v>
      </c>
      <c r="G787" s="126" t="str">
        <f>IF(LEFT(A787,3)="vx_","vx",INDEX(Categorie,MATCH($A787,emprunts!$A$2:$A$149,0)))</f>
        <v>Struct</v>
      </c>
      <c r="H787">
        <v>2013</v>
      </c>
      <c r="I787">
        <f t="shared" si="136"/>
        <v>1</v>
      </c>
      <c r="N787"/>
      <c r="O787" s="58"/>
      <c r="Q787" s="58"/>
      <c r="R787" s="58"/>
      <c r="S787" s="58"/>
      <c r="T787" s="58"/>
      <c r="U787" s="58"/>
      <c r="V787" s="14" t="str">
        <f t="shared" si="141"/>
        <v/>
      </c>
      <c r="X787" s="85">
        <f t="shared" si="137"/>
        <v>0</v>
      </c>
      <c r="Y787" s="21" t="str">
        <f t="shared" ref="Y787:Y850" si="142">IF(AND(AA787&gt;0,YEAR(C787)&lt;=H787),AA787/AC787,"")</f>
        <v/>
      </c>
      <c r="AA787" s="55">
        <f t="shared" si="139"/>
        <v>-35580.19</v>
      </c>
      <c r="AB787" s="55">
        <f t="shared" si="140"/>
        <v>0</v>
      </c>
      <c r="AC787" s="55">
        <f t="shared" si="138"/>
        <v>0</v>
      </c>
    </row>
    <row r="788" spans="1:29">
      <c r="A788" t="s">
        <v>265</v>
      </c>
      <c r="B788" s="16" t="str">
        <f>INDEX(emprunts!C:C,MATCH($A788,emprunts!A:A,0))</f>
        <v>Dexia CL</v>
      </c>
      <c r="C788" s="18">
        <f>INDEX(emprunts!M:M,MATCH($A788,emprunts!$A:$A,0))</f>
        <v>39899</v>
      </c>
      <c r="D788" s="18">
        <f>IF(INDEX(emprunts!O:O,MATCH($A788,emprunts!$A:$A,0))="",INDEX(emprunts!N:N,MATCH($A788,emprunts!$A:$A,0)),MIN(INDEX(emprunts!N:N,MATCH($A788,emprunts!$A:$A,0)),INDEX(emprunts!O:O,MATCH($A788,emprunts!$A:$A,0))))</f>
        <v>47209</v>
      </c>
      <c r="E788" s="52">
        <f>INDEX(emprunts!I:I,MATCH($A788,emprunts!$A:$A,0))</f>
        <v>20</v>
      </c>
      <c r="F788" s="18" t="str">
        <f>INDEX(emprunts!P:P,MATCH($A788,emprunts!$A:$A,0))</f>
        <v>Fixe</v>
      </c>
      <c r="G788" s="126" t="str">
        <f>IF(LEFT(A788,3)="vx_","vx",INDEX(Categorie,MATCH($A788,emprunts!$A$2:$A$149,0)))</f>
        <v>Non_st</v>
      </c>
      <c r="H788">
        <v>2013</v>
      </c>
      <c r="I788">
        <f t="shared" si="136"/>
        <v>1</v>
      </c>
      <c r="N788"/>
      <c r="O788" s="58">
        <v>5073513</v>
      </c>
      <c r="P788" s="4">
        <v>4.53E-2</v>
      </c>
      <c r="Q788" s="58">
        <v>236790.56</v>
      </c>
      <c r="R788" s="58">
        <v>222226.2</v>
      </c>
      <c r="S788" s="58"/>
      <c r="T788" s="58">
        <v>57454.71</v>
      </c>
      <c r="U788" s="58">
        <f>SUM(Q788:S788)</f>
        <v>459016.76</v>
      </c>
      <c r="V788" s="14">
        <f t="shared" si="141"/>
        <v>0</v>
      </c>
      <c r="X788" s="85">
        <f t="shared" si="137"/>
        <v>0</v>
      </c>
      <c r="Y788" s="21">
        <f t="shared" si="142"/>
        <v>4.5797146975841432E-2</v>
      </c>
      <c r="AA788" s="55">
        <f t="shared" si="139"/>
        <v>236790.56000000003</v>
      </c>
      <c r="AB788" s="55">
        <f t="shared" si="140"/>
        <v>0.20000000018626451</v>
      </c>
      <c r="AC788" s="55">
        <f t="shared" si="138"/>
        <v>5170421.6449315064</v>
      </c>
    </row>
    <row r="789" spans="1:29">
      <c r="A789" t="s">
        <v>267</v>
      </c>
      <c r="B789" s="16" t="str">
        <f>INDEX(emprunts!C:C,MATCH($A789,emprunts!A:A,0))</f>
        <v>Société Générale</v>
      </c>
      <c r="C789" s="18">
        <f>INDEX(emprunts!M:M,MATCH($A789,emprunts!$A:$A,0))</f>
        <v>39904</v>
      </c>
      <c r="D789" s="18">
        <f>IF(INDEX(emprunts!O:O,MATCH($A789,emprunts!$A:$A,0))="",INDEX(emprunts!N:N,MATCH($A789,emprunts!$A:$A,0)),MIN(INDEX(emprunts!N:N,MATCH($A789,emprunts!$A:$A,0)),INDEX(emprunts!O:O,MATCH($A789,emprunts!$A:$A,0))))</f>
        <v>40452</v>
      </c>
      <c r="E789" s="52">
        <f>INDEX(emprunts!I:I,MATCH($A789,emprunts!$A:$A,0))</f>
        <v>18</v>
      </c>
      <c r="F789" s="18" t="str">
        <f>INDEX(emprunts!P:P,MATCH($A789,emprunts!$A:$A,0))</f>
        <v>Change</v>
      </c>
      <c r="G789" s="126" t="str">
        <f>IF(LEFT(A789,3)="vx_","vx",INDEX(Categorie,MATCH($A789,emprunts!$A$2:$A$149,0)))</f>
        <v>Struct</v>
      </c>
      <c r="H789">
        <v>2013</v>
      </c>
      <c r="I789">
        <f t="shared" si="136"/>
        <v>1</v>
      </c>
      <c r="N789"/>
      <c r="O789" s="58"/>
      <c r="Q789" s="58"/>
      <c r="R789" s="58"/>
      <c r="S789" s="58"/>
      <c r="T789" s="58"/>
      <c r="U789" s="58"/>
      <c r="V789" s="14" t="str">
        <f t="shared" si="141"/>
        <v/>
      </c>
      <c r="X789" s="85">
        <f t="shared" si="137"/>
        <v>0</v>
      </c>
      <c r="Y789" s="21" t="str">
        <f t="shared" si="142"/>
        <v/>
      </c>
      <c r="AA789" s="55">
        <f t="shared" si="139"/>
        <v>0</v>
      </c>
      <c r="AB789" s="55">
        <f t="shared" si="140"/>
        <v>0</v>
      </c>
      <c r="AC789" s="55">
        <f t="shared" si="138"/>
        <v>0</v>
      </c>
    </row>
    <row r="790" spans="1:29">
      <c r="A790" t="s">
        <v>269</v>
      </c>
      <c r="B790" s="16" t="str">
        <f>INDEX(emprunts!C:C,MATCH($A790,emprunts!A:A,0))</f>
        <v>Dexia CL</v>
      </c>
      <c r="C790" s="18">
        <f>INDEX(emprunts!M:M,MATCH($A790,emprunts!$A:$A,0))</f>
        <v>40087</v>
      </c>
      <c r="D790" s="18">
        <f>IF(INDEX(emprunts!O:O,MATCH($A790,emprunts!$A:$A,0))="",INDEX(emprunts!N:N,MATCH($A790,emprunts!$A:$A,0)),MIN(INDEX(emprunts!N:N,MATCH($A790,emprunts!$A:$A,0)),INDEX(emprunts!O:O,MATCH($A790,emprunts!$A:$A,0))))</f>
        <v>40452</v>
      </c>
      <c r="E790" s="52">
        <f>INDEX(emprunts!I:I,MATCH($A790,emprunts!$A:$A,0))</f>
        <v>16</v>
      </c>
      <c r="F790" s="18" t="str">
        <f>INDEX(emprunts!P:P,MATCH($A790,emprunts!$A:$A,0))</f>
        <v>Change</v>
      </c>
      <c r="G790" s="126" t="str">
        <f>IF(LEFT(A790,3)="vx_","vx",INDEX(Categorie,MATCH($A790,emprunts!$A$2:$A$149,0)))</f>
        <v>Struct</v>
      </c>
      <c r="H790">
        <v>2013</v>
      </c>
      <c r="I790">
        <f t="shared" si="136"/>
        <v>1</v>
      </c>
      <c r="N790"/>
      <c r="O790" s="58"/>
      <c r="Q790" s="58"/>
      <c r="R790" s="58"/>
      <c r="S790" s="58"/>
      <c r="T790" s="58"/>
      <c r="U790" s="58"/>
      <c r="V790" s="14" t="str">
        <f t="shared" si="141"/>
        <v/>
      </c>
      <c r="X790" s="85">
        <f t="shared" si="137"/>
        <v>0</v>
      </c>
      <c r="Y790" s="21" t="str">
        <f t="shared" si="142"/>
        <v/>
      </c>
      <c r="AA790" s="55">
        <f t="shared" si="139"/>
        <v>0</v>
      </c>
      <c r="AB790" s="55">
        <f t="shared" si="140"/>
        <v>0</v>
      </c>
      <c r="AC790" s="55">
        <f t="shared" si="138"/>
        <v>0</v>
      </c>
    </row>
    <row r="791" spans="1:29">
      <c r="A791" t="s">
        <v>270</v>
      </c>
      <c r="B791" s="16" t="str">
        <f>INDEX(emprunts!C:C,MATCH($A791,emprunts!A:A,0))</f>
        <v>Dexia CL</v>
      </c>
      <c r="C791" s="18">
        <f>INDEX(emprunts!M:M,MATCH($A791,emprunts!$A:$A,0))</f>
        <v>40118</v>
      </c>
      <c r="D791" s="18">
        <f>IF(INDEX(emprunts!O:O,MATCH($A791,emprunts!$A:$A,0))="",INDEX(emprunts!N:N,MATCH($A791,emprunts!$A:$A,0)),MIN(INDEX(emprunts!N:N,MATCH($A791,emprunts!$A:$A,0)),INDEX(emprunts!O:O,MATCH($A791,emprunts!$A:$A,0))))</f>
        <v>43040</v>
      </c>
      <c r="E791" s="52">
        <f>INDEX(emprunts!I:I,MATCH($A791,emprunts!$A:$A,0))</f>
        <v>23</v>
      </c>
      <c r="F791" s="18" t="str">
        <f>INDEX(emprunts!P:P,MATCH($A791,emprunts!$A:$A,0))</f>
        <v>Pente</v>
      </c>
      <c r="G791" s="126" t="str">
        <f>IF(LEFT(A791,3)="vx_","vx",INDEX(Categorie,MATCH($A791,emprunts!$A$2:$A$149,0)))</f>
        <v>Struct</v>
      </c>
      <c r="H791">
        <v>2013</v>
      </c>
      <c r="I791">
        <f t="shared" si="136"/>
        <v>1</v>
      </c>
      <c r="N791"/>
      <c r="O791" s="58">
        <v>11431629</v>
      </c>
      <c r="P791" s="4">
        <v>3.78E-2</v>
      </c>
      <c r="Q791" s="58">
        <v>446461.18</v>
      </c>
      <c r="R791" s="58">
        <v>343308.49</v>
      </c>
      <c r="S791" s="58"/>
      <c r="T791" s="58">
        <v>71257.16</v>
      </c>
      <c r="U791" s="58">
        <f>SUM(Q791:S791)</f>
        <v>789769.66999999993</v>
      </c>
      <c r="V791" s="14">
        <f t="shared" si="141"/>
        <v>0</v>
      </c>
      <c r="X791" s="85">
        <f t="shared" si="137"/>
        <v>0</v>
      </c>
      <c r="Y791" s="21">
        <f t="shared" si="142"/>
        <v>3.8582848686057103E-2</v>
      </c>
      <c r="AA791" s="55">
        <f t="shared" si="139"/>
        <v>446461.17999999993</v>
      </c>
      <c r="AB791" s="55">
        <f t="shared" si="140"/>
        <v>999.49000000022352</v>
      </c>
      <c r="AC791" s="55">
        <f t="shared" si="138"/>
        <v>11571493.427890411</v>
      </c>
    </row>
    <row r="792" spans="1:29">
      <c r="A792" t="s">
        <v>272</v>
      </c>
      <c r="B792" s="16" t="str">
        <f>INDEX(emprunts!C:C,MATCH($A792,emprunts!A:A,0))</f>
        <v>Dexia CL</v>
      </c>
      <c r="C792" s="18">
        <f>INDEX(emprunts!M:M,MATCH($A792,emprunts!$A:$A,0))</f>
        <v>40133</v>
      </c>
      <c r="D792" s="18">
        <f>IF(INDEX(emprunts!O:O,MATCH($A792,emprunts!$A:$A,0))="",INDEX(emprunts!N:N,MATCH($A792,emprunts!$A:$A,0)),MIN(INDEX(emprunts!N:N,MATCH($A792,emprunts!$A:$A,0)),INDEX(emprunts!O:O,MATCH($A792,emprunts!$A:$A,0))))</f>
        <v>40878</v>
      </c>
      <c r="E792" s="52">
        <f>INDEX(emprunts!I:I,MATCH($A792,emprunts!$A:$A,0))</f>
        <v>25</v>
      </c>
      <c r="F792" s="18" t="str">
        <f>INDEX(emprunts!P:P,MATCH($A792,emprunts!$A:$A,0))</f>
        <v>Variable</v>
      </c>
      <c r="G792" s="126" t="str">
        <f>IF(LEFT(A792,3)="vx_","vx",INDEX(Categorie,MATCH($A792,emprunts!$A$2:$A$149,0)))</f>
        <v>Non_st</v>
      </c>
      <c r="H792">
        <v>2013</v>
      </c>
      <c r="I792">
        <f t="shared" si="136"/>
        <v>1</v>
      </c>
      <c r="N792"/>
      <c r="O792" s="58"/>
      <c r="Q792" s="58"/>
      <c r="R792" s="58"/>
      <c r="S792" s="58"/>
      <c r="T792" s="58"/>
      <c r="U792" s="58"/>
      <c r="V792" s="14" t="str">
        <f t="shared" si="141"/>
        <v/>
      </c>
      <c r="X792" s="85">
        <f t="shared" si="137"/>
        <v>0</v>
      </c>
      <c r="Y792" s="21" t="str">
        <f t="shared" si="142"/>
        <v/>
      </c>
      <c r="AA792" s="55">
        <f t="shared" si="139"/>
        <v>0</v>
      </c>
      <c r="AB792" s="55">
        <f t="shared" si="140"/>
        <v>0</v>
      </c>
      <c r="AC792" s="55">
        <f t="shared" si="138"/>
        <v>0</v>
      </c>
    </row>
    <row r="793" spans="1:29" ht="30">
      <c r="A793" t="s">
        <v>274</v>
      </c>
      <c r="B793" s="16" t="str">
        <f>INDEX(emprunts!C:C,MATCH($A793,emprunts!A:A,0))</f>
        <v>Caisse d'Épargne</v>
      </c>
      <c r="C793" s="18">
        <f>INDEX(emprunts!M:M,MATCH($A793,emprunts!$A:$A,0))</f>
        <v>40142</v>
      </c>
      <c r="D793" s="18">
        <f>IF(INDEX(emprunts!O:O,MATCH($A793,emprunts!$A:$A,0))="",INDEX(emprunts!N:N,MATCH($A793,emprunts!$A:$A,0)),MIN(INDEX(emprunts!N:N,MATCH($A793,emprunts!$A:$A,0)),INDEX(emprunts!O:O,MATCH($A793,emprunts!$A:$A,0))))</f>
        <v>46351</v>
      </c>
      <c r="E793" s="52">
        <f>INDEX(emprunts!I:I,MATCH($A793,emprunts!$A:$A,0))</f>
        <v>17</v>
      </c>
      <c r="F793" s="18" t="str">
        <f>INDEX(emprunts!P:P,MATCH($A793,emprunts!$A:$A,0))</f>
        <v>Fixe</v>
      </c>
      <c r="G793" s="126" t="str">
        <f>IF(LEFT(A793,3)="vx_","vx",INDEX(Categorie,MATCH($A793,emprunts!$A$2:$A$149,0)))</f>
        <v>Restr_sec</v>
      </c>
      <c r="H793">
        <v>2013</v>
      </c>
      <c r="I793">
        <f t="shared" si="136"/>
        <v>1</v>
      </c>
      <c r="N793"/>
      <c r="O793" s="58">
        <v>3622857</v>
      </c>
      <c r="P793" s="4">
        <v>4.7500000000000001E-2</v>
      </c>
      <c r="Q793" s="58">
        <v>182991.12</v>
      </c>
      <c r="R793" s="58">
        <v>217236.88</v>
      </c>
      <c r="S793" s="58"/>
      <c r="T793" s="58">
        <v>17027.43</v>
      </c>
      <c r="U793" s="58">
        <f>SUM(Q793:S793)</f>
        <v>400228</v>
      </c>
      <c r="V793" s="14">
        <f t="shared" si="141"/>
        <v>0</v>
      </c>
      <c r="X793" s="85">
        <f t="shared" si="137"/>
        <v>0</v>
      </c>
      <c r="Y793" s="21">
        <f t="shared" si="142"/>
        <v>4.9174608223374196E-2</v>
      </c>
      <c r="AA793" s="55">
        <f t="shared" si="139"/>
        <v>182991.12</v>
      </c>
      <c r="AB793" s="55">
        <f t="shared" si="140"/>
        <v>0.87999999988824129</v>
      </c>
      <c r="AC793" s="55">
        <f t="shared" si="138"/>
        <v>3721252.2196164383</v>
      </c>
    </row>
    <row r="794" spans="1:29">
      <c r="A794" t="s">
        <v>276</v>
      </c>
      <c r="B794" s="16" t="str">
        <f>INDEX(emprunts!C:C,MATCH($A794,emprunts!A:A,0))</f>
        <v>Arkea</v>
      </c>
      <c r="C794" s="18">
        <f>INDEX(emprunts!M:M,MATCH($A794,emprunts!$A:$A,0))</f>
        <v>40168</v>
      </c>
      <c r="D794" s="18">
        <f>IF(INDEX(emprunts!O:O,MATCH($A794,emprunts!$A:$A,0))="",INDEX(emprunts!N:N,MATCH($A794,emprunts!$A:$A,0)),MIN(INDEX(emprunts!N:N,MATCH($A794,emprunts!$A:$A,0)),INDEX(emprunts!O:O,MATCH($A794,emprunts!$A:$A,0))))</f>
        <v>47786</v>
      </c>
      <c r="E794" s="52">
        <f>INDEX(emprunts!I:I,MATCH($A794,emprunts!$A:$A,0))</f>
        <v>20</v>
      </c>
      <c r="F794" s="18" t="str">
        <f>INDEX(emprunts!P:P,MATCH($A794,emprunts!$A:$A,0))</f>
        <v>Variable</v>
      </c>
      <c r="G794" s="126" t="str">
        <f>IF(LEFT(A794,3)="vx_","vx",INDEX(Categorie,MATCH($A794,emprunts!$A$2:$A$149,0)))</f>
        <v>Non_st</v>
      </c>
      <c r="H794">
        <v>2013</v>
      </c>
      <c r="I794">
        <f t="shared" si="136"/>
        <v>1</v>
      </c>
      <c r="N794"/>
      <c r="O794" s="58">
        <v>8677329</v>
      </c>
      <c r="P794" s="4">
        <v>6.6E-3</v>
      </c>
      <c r="Q794" s="58">
        <v>58448.34</v>
      </c>
      <c r="R794" s="58">
        <v>447255.9</v>
      </c>
      <c r="S794" s="58"/>
      <c r="T794" s="58">
        <v>9833.34</v>
      </c>
      <c r="U794" s="58">
        <f>SUM(Q794:S794)</f>
        <v>505704.24</v>
      </c>
      <c r="V794" s="14">
        <f t="shared" si="141"/>
        <v>0</v>
      </c>
      <c r="X794" s="85">
        <f t="shared" si="137"/>
        <v>0</v>
      </c>
      <c r="Y794" s="21">
        <f t="shared" si="142"/>
        <v>6.369340310212252E-3</v>
      </c>
      <c r="AA794" s="55">
        <f t="shared" si="139"/>
        <v>56537.899999999994</v>
      </c>
      <c r="AB794" s="55">
        <f t="shared" si="140"/>
        <v>-9.999999962747097E-2</v>
      </c>
      <c r="AC794" s="55">
        <f t="shared" si="138"/>
        <v>8876570.766575342</v>
      </c>
    </row>
    <row r="795" spans="1:29">
      <c r="A795" t="s">
        <v>284</v>
      </c>
      <c r="B795" s="16" t="str">
        <f>INDEX(emprunts!C:C,MATCH($A795,emprunts!A:A,0))</f>
        <v>Société Générale</v>
      </c>
      <c r="C795" s="18">
        <f>INDEX(emprunts!M:M,MATCH($A795,emprunts!$A:$A,0))</f>
        <v>40452</v>
      </c>
      <c r="D795" s="18">
        <f>IF(INDEX(emprunts!O:O,MATCH($A795,emprunts!$A:$A,0))="",INDEX(emprunts!N:N,MATCH($A795,emprunts!$A:$A,0)),MIN(INDEX(emprunts!N:N,MATCH($A795,emprunts!$A:$A,0)),INDEX(emprunts!O:O,MATCH($A795,emprunts!$A:$A,0))))</f>
        <v>41640</v>
      </c>
      <c r="E795" s="52">
        <f>INDEX(emprunts!I:I,MATCH($A795,emprunts!$A:$A,0))</f>
        <v>25</v>
      </c>
      <c r="F795" s="18" t="str">
        <f>INDEX(emprunts!P:P,MATCH($A795,emprunts!$A:$A,0))</f>
        <v>Barrière avec multiplicateur</v>
      </c>
      <c r="G795" s="126" t="str">
        <f>IF(LEFT(A795,3)="vx_","vx",INDEX(Categorie,MATCH($A795,emprunts!$A$2:$A$149,0)))</f>
        <v>Struct</v>
      </c>
      <c r="H795">
        <v>2013</v>
      </c>
      <c r="I795">
        <f t="shared" si="136"/>
        <v>1</v>
      </c>
      <c r="N795"/>
      <c r="O795" s="58">
        <v>4180214</v>
      </c>
      <c r="P795" s="4">
        <v>4.0300000000000002E-2</v>
      </c>
      <c r="Q795" s="58">
        <v>173764.5</v>
      </c>
      <c r="R795" s="58">
        <v>103392.66</v>
      </c>
      <c r="S795" s="58"/>
      <c r="T795" s="58">
        <v>166643.76</v>
      </c>
      <c r="U795" s="58">
        <f>SUM(Q795:S795)</f>
        <v>277157.16000000003</v>
      </c>
      <c r="V795" s="14">
        <f t="shared" si="141"/>
        <v>0</v>
      </c>
      <c r="X795" s="85">
        <f t="shared" si="137"/>
        <v>0</v>
      </c>
      <c r="Y795" s="21">
        <f t="shared" si="142"/>
        <v>4.0699439984236495E-2</v>
      </c>
      <c r="AA795" s="55">
        <f t="shared" si="139"/>
        <v>171764.5</v>
      </c>
      <c r="AB795" s="55">
        <f t="shared" si="140"/>
        <v>-0.33999999985098839</v>
      </c>
      <c r="AC795" s="55">
        <f t="shared" si="138"/>
        <v>4220316.0551232882</v>
      </c>
    </row>
    <row r="796" spans="1:29">
      <c r="A796" t="s">
        <v>286</v>
      </c>
      <c r="B796" s="16" t="str">
        <f>INDEX(emprunts!C:C,MATCH($A796,emprunts!A:A,0))</f>
        <v>Dexia CL</v>
      </c>
      <c r="C796" s="18">
        <f>INDEX(emprunts!M:M,MATCH($A796,emprunts!$A:$A,0))</f>
        <v>40179</v>
      </c>
      <c r="D796" s="18">
        <f>IF(INDEX(emprunts!O:O,MATCH($A796,emprunts!$A:$A,0))="",INDEX(emprunts!N:N,MATCH($A796,emprunts!$A:$A,0)),MIN(INDEX(emprunts!N:N,MATCH($A796,emprunts!$A:$A,0)),INDEX(emprunts!O:O,MATCH($A796,emprunts!$A:$A,0))))</f>
        <v>40848</v>
      </c>
      <c r="E796" s="52">
        <f>INDEX(emprunts!I:I,MATCH($A796,emprunts!$A:$A,0))</f>
        <v>23</v>
      </c>
      <c r="F796" s="18" t="str">
        <f>INDEX(emprunts!P:P,MATCH($A796,emprunts!$A:$A,0))</f>
        <v>Barrière avec multiplicateur</v>
      </c>
      <c r="G796" s="126" t="str">
        <f>IF(LEFT(A796,3)="vx_","vx",INDEX(Categorie,MATCH($A796,emprunts!$A$2:$A$149,0)))</f>
        <v>Struct</v>
      </c>
      <c r="H796">
        <v>2013</v>
      </c>
      <c r="I796">
        <f t="shared" si="136"/>
        <v>1</v>
      </c>
      <c r="N796"/>
      <c r="O796" s="58"/>
      <c r="Q796" s="58"/>
      <c r="R796" s="58"/>
      <c r="S796" s="58"/>
      <c r="T796" s="58"/>
      <c r="U796" s="58"/>
      <c r="V796" s="14" t="str">
        <f t="shared" si="141"/>
        <v/>
      </c>
      <c r="X796" s="85">
        <f t="shared" si="137"/>
        <v>0</v>
      </c>
      <c r="Y796" s="21" t="str">
        <f t="shared" si="142"/>
        <v/>
      </c>
      <c r="AA796" s="55">
        <f t="shared" si="139"/>
        <v>0</v>
      </c>
      <c r="AB796" s="55">
        <f t="shared" si="140"/>
        <v>0</v>
      </c>
      <c r="AC796" s="55">
        <f t="shared" si="138"/>
        <v>0</v>
      </c>
    </row>
    <row r="797" spans="1:29">
      <c r="A797" t="s">
        <v>288</v>
      </c>
      <c r="B797" s="16" t="str">
        <f>INDEX(emprunts!C:C,MATCH($A797,emprunts!A:A,0))</f>
        <v>Société Générale</v>
      </c>
      <c r="C797" s="18">
        <f>INDEX(emprunts!M:M,MATCH($A797,emprunts!$A:$A,0))</f>
        <v>40452</v>
      </c>
      <c r="D797" s="18">
        <f>IF(INDEX(emprunts!O:O,MATCH($A797,emprunts!$A:$A,0))="",INDEX(emprunts!N:N,MATCH($A797,emprunts!$A:$A,0)),MIN(INDEX(emprunts!N:N,MATCH($A797,emprunts!$A:$A,0)),INDEX(emprunts!O:O,MATCH($A797,emprunts!$A:$A,0))))</f>
        <v>41730</v>
      </c>
      <c r="E797" s="52">
        <f>INDEX(emprunts!I:I,MATCH($A797,emprunts!$A:$A,0))</f>
        <v>25</v>
      </c>
      <c r="F797" s="18" t="str">
        <f>INDEX(emprunts!P:P,MATCH($A797,emprunts!$A:$A,0))</f>
        <v>Barrière avec multiplicateur</v>
      </c>
      <c r="G797" s="126" t="str">
        <f>IF(LEFT(A797,3)="vx_","vx",INDEX(Categorie,MATCH($A797,emprunts!$A$2:$A$149,0)))</f>
        <v>Struct</v>
      </c>
      <c r="H797">
        <v>2013</v>
      </c>
      <c r="I797">
        <f t="shared" si="136"/>
        <v>1</v>
      </c>
      <c r="N797"/>
      <c r="O797" s="58">
        <v>3485016</v>
      </c>
      <c r="P797" s="4">
        <v>4.0300000000000002E-2</v>
      </c>
      <c r="Q797" s="58">
        <v>144470.48000000001</v>
      </c>
      <c r="R797" s="58">
        <v>86197.75</v>
      </c>
      <c r="S797" s="58"/>
      <c r="T797" s="58">
        <v>105834.13</v>
      </c>
      <c r="U797" s="58">
        <f>SUM(Q797:S797)</f>
        <v>230668.23</v>
      </c>
      <c r="V797" s="14">
        <f t="shared" si="141"/>
        <v>0</v>
      </c>
      <c r="X797" s="85">
        <f t="shared" si="137"/>
        <v>0</v>
      </c>
      <c r="Y797" s="21">
        <f t="shared" si="142"/>
        <v>4.106084468779575E-2</v>
      </c>
      <c r="AA797" s="55">
        <f t="shared" si="139"/>
        <v>144470.48000000001</v>
      </c>
      <c r="AB797" s="55">
        <f t="shared" si="140"/>
        <v>-0.25</v>
      </c>
      <c r="AC797" s="55">
        <f t="shared" si="138"/>
        <v>3518448.8068493153</v>
      </c>
    </row>
    <row r="798" spans="1:29">
      <c r="A798" t="s">
        <v>289</v>
      </c>
      <c r="B798" s="16" t="str">
        <f>INDEX(emprunts!C:C,MATCH($A798,emprunts!A:A,0))</f>
        <v>Dexia CL</v>
      </c>
      <c r="C798" s="18">
        <f>INDEX(emprunts!M:M,MATCH($A798,emprunts!$A:$A,0))</f>
        <v>40299</v>
      </c>
      <c r="D798" s="18">
        <f>IF(INDEX(emprunts!O:O,MATCH($A798,emprunts!$A:$A,0))="",INDEX(emprunts!N:N,MATCH($A798,emprunts!$A:$A,0)),MIN(INDEX(emprunts!N:N,MATCH($A798,emprunts!$A:$A,0)),INDEX(emprunts!O:O,MATCH($A798,emprunts!$A:$A,0))))</f>
        <v>40737</v>
      </c>
      <c r="E798" s="52">
        <f>INDEX(emprunts!I:I,MATCH($A798,emprunts!$A:$A,0))</f>
        <v>19</v>
      </c>
      <c r="F798" s="18" t="str">
        <f>INDEX(emprunts!P:P,MATCH($A798,emprunts!$A:$A,0))</f>
        <v>Barrière avec multiplicateur</v>
      </c>
      <c r="G798" s="126" t="str">
        <f>IF(LEFT(A798,3)="vx_","vx",INDEX(Categorie,MATCH($A798,emprunts!$A$2:$A$149,0)))</f>
        <v>Struct</v>
      </c>
      <c r="H798">
        <v>2013</v>
      </c>
      <c r="I798">
        <f t="shared" si="136"/>
        <v>1</v>
      </c>
      <c r="N798"/>
      <c r="O798" s="58"/>
      <c r="Q798" s="58"/>
      <c r="R798" s="58"/>
      <c r="S798" s="58"/>
      <c r="T798" s="58"/>
      <c r="U798" s="58"/>
      <c r="V798" s="14" t="str">
        <f t="shared" si="141"/>
        <v/>
      </c>
      <c r="X798" s="85">
        <f t="shared" si="137"/>
        <v>0</v>
      </c>
      <c r="Y798" s="21" t="str">
        <f t="shared" si="142"/>
        <v/>
      </c>
      <c r="AA798" s="55">
        <f t="shared" si="139"/>
        <v>0</v>
      </c>
      <c r="AB798" s="55">
        <f t="shared" si="140"/>
        <v>0</v>
      </c>
      <c r="AC798" s="55">
        <f t="shared" si="138"/>
        <v>0</v>
      </c>
    </row>
    <row r="799" spans="1:29">
      <c r="A799" t="s">
        <v>300</v>
      </c>
      <c r="B799" s="16" t="str">
        <f>INDEX(emprunts!C:C,MATCH($A799,emprunts!A:A,0))</f>
        <v>Dexia CL</v>
      </c>
      <c r="C799" s="18">
        <f>INDEX(emprunts!M:M,MATCH($A799,emprunts!$A:$A,0))</f>
        <v>40452</v>
      </c>
      <c r="D799" s="18">
        <f>IF(INDEX(emprunts!O:O,MATCH($A799,emprunts!$A:$A,0))="",INDEX(emprunts!N:N,MATCH($A799,emprunts!$A:$A,0)),MIN(INDEX(emprunts!N:N,MATCH($A799,emprunts!$A:$A,0)),INDEX(emprunts!O:O,MATCH($A799,emprunts!$A:$A,0))))</f>
        <v>40664</v>
      </c>
      <c r="E799" s="52">
        <f>INDEX(emprunts!I:I,MATCH($A799,emprunts!$A:$A,0))</f>
        <v>12</v>
      </c>
      <c r="F799" s="18" t="str">
        <f>INDEX(emprunts!P:P,MATCH($A799,emprunts!$A:$A,0))</f>
        <v>Change</v>
      </c>
      <c r="G799" s="126" t="str">
        <f>IF(LEFT(A799,3)="vx_","vx",INDEX(Categorie,MATCH($A799,emprunts!$A$2:$A$149,0)))</f>
        <v>Struct</v>
      </c>
      <c r="H799">
        <v>2013</v>
      </c>
      <c r="I799">
        <f t="shared" si="136"/>
        <v>1</v>
      </c>
      <c r="N799"/>
      <c r="O799" s="58"/>
      <c r="Q799" s="58"/>
      <c r="R799" s="58"/>
      <c r="S799" s="58"/>
      <c r="T799" s="58"/>
      <c r="U799" s="58"/>
      <c r="V799" s="14" t="str">
        <f t="shared" si="141"/>
        <v/>
      </c>
      <c r="X799" s="85">
        <f t="shared" si="137"/>
        <v>0</v>
      </c>
      <c r="Y799" s="21" t="str">
        <f t="shared" si="142"/>
        <v/>
      </c>
      <c r="AA799" s="55">
        <f t="shared" si="139"/>
        <v>0</v>
      </c>
      <c r="AB799" s="55">
        <f t="shared" si="140"/>
        <v>0</v>
      </c>
      <c r="AC799" s="55">
        <f t="shared" si="138"/>
        <v>0</v>
      </c>
    </row>
    <row r="800" spans="1:29">
      <c r="A800" t="s">
        <v>302</v>
      </c>
      <c r="B800" s="16" t="str">
        <f>INDEX(emprunts!C:C,MATCH($A800,emprunts!A:A,0))</f>
        <v>Dexia CL</v>
      </c>
      <c r="C800" s="18">
        <f>INDEX(emprunts!M:M,MATCH($A800,emprunts!$A:$A,0))</f>
        <v>40384</v>
      </c>
      <c r="D800" s="18">
        <f>IF(INDEX(emprunts!O:O,MATCH($A800,emprunts!$A:$A,0))="",INDEX(emprunts!N:N,MATCH($A800,emprunts!$A:$A,0)),MIN(INDEX(emprunts!N:N,MATCH($A800,emprunts!$A:$A,0)),INDEX(emprunts!O:O,MATCH($A800,emprunts!$A:$A,0))))</f>
        <v>45901</v>
      </c>
      <c r="E800" s="52">
        <f>INDEX(emprunts!I:I,MATCH($A800,emprunts!$A:$A,0))</f>
        <v>15</v>
      </c>
      <c r="F800" s="18" t="str">
        <f>INDEX(emprunts!P:P,MATCH($A800,emprunts!$A:$A,0))</f>
        <v>Fixe</v>
      </c>
      <c r="G800" s="126" t="str">
        <f>IF(LEFT(A800,3)="vx_","vx",INDEX(Categorie,MATCH($A800,emprunts!$A$2:$A$149,0)))</f>
        <v>Non_st</v>
      </c>
      <c r="H800">
        <v>2013</v>
      </c>
      <c r="I800">
        <f t="shared" si="136"/>
        <v>1</v>
      </c>
      <c r="N800"/>
      <c r="O800" s="58">
        <v>607232</v>
      </c>
      <c r="P800" s="4">
        <v>2.1299999999999999E-2</v>
      </c>
      <c r="Q800" s="58">
        <v>13598.09</v>
      </c>
      <c r="R800" s="58">
        <v>44987.99</v>
      </c>
      <c r="S800" s="58"/>
      <c r="T800" s="58">
        <v>1082.9000000000001</v>
      </c>
      <c r="U800" s="58">
        <f>SUM(Q800:S800)</f>
        <v>58586.080000000002</v>
      </c>
      <c r="V800" s="14">
        <f t="shared" si="141"/>
        <v>0</v>
      </c>
      <c r="X800" s="85">
        <f t="shared" si="137"/>
        <v>0</v>
      </c>
      <c r="Y800" s="21">
        <f t="shared" si="142"/>
        <v>2.1684831884961071E-2</v>
      </c>
      <c r="AA800" s="55">
        <f t="shared" si="139"/>
        <v>13618.09</v>
      </c>
      <c r="AB800" s="55">
        <f t="shared" si="140"/>
        <v>-1.0000000009313226E-2</v>
      </c>
      <c r="AC800" s="55">
        <f t="shared" si="138"/>
        <v>628000.71830136981</v>
      </c>
    </row>
    <row r="801" spans="1:29" ht="30">
      <c r="A801" t="s">
        <v>304</v>
      </c>
      <c r="B801" s="16" t="str">
        <f>INDEX(emprunts!C:C,MATCH($A801,emprunts!A:A,0))</f>
        <v>Société Générale</v>
      </c>
      <c r="C801" s="18">
        <f>INDEX(emprunts!M:M,MATCH($A801,emprunts!$A:$A,0))</f>
        <v>40422</v>
      </c>
      <c r="D801" s="18">
        <f>IF(INDEX(emprunts!O:O,MATCH($A801,emprunts!$A:$A,0))="",INDEX(emprunts!N:N,MATCH($A801,emprunts!$A:$A,0)),MIN(INDEX(emprunts!N:N,MATCH($A801,emprunts!$A:$A,0)),INDEX(emprunts!O:O,MATCH($A801,emprunts!$A:$A,0))))</f>
        <v>47818</v>
      </c>
      <c r="E801" s="52">
        <f>INDEX(emprunts!I:I,MATCH($A801,emprunts!$A:$A,0))</f>
        <v>20</v>
      </c>
      <c r="F801" s="18" t="str">
        <f>INDEX(emprunts!P:P,MATCH($A801,emprunts!$A:$A,0))</f>
        <v>Fixe</v>
      </c>
      <c r="G801" s="126" t="str">
        <f>IF(LEFT(A801,3)="vx_","vx",INDEX(Categorie,MATCH($A801,emprunts!$A$2:$A$149,0)))</f>
        <v>Restr_sec</v>
      </c>
      <c r="H801">
        <v>2013</v>
      </c>
      <c r="I801">
        <f t="shared" si="136"/>
        <v>1</v>
      </c>
      <c r="N801"/>
      <c r="O801" s="58">
        <v>1619652</v>
      </c>
      <c r="P801" s="4">
        <v>4.3799999999999999E-2</v>
      </c>
      <c r="Q801" s="58">
        <v>73072.25</v>
      </c>
      <c r="R801" s="58">
        <v>59694.41</v>
      </c>
      <c r="S801" s="58"/>
      <c r="T801" s="58">
        <v>5844.24</v>
      </c>
      <c r="U801" s="58">
        <f>SUM(Q801:S801)</f>
        <v>132766.66</v>
      </c>
      <c r="V801" s="14">
        <f t="shared" si="141"/>
        <v>0</v>
      </c>
      <c r="X801" s="85">
        <f t="shared" si="137"/>
        <v>0</v>
      </c>
      <c r="Y801" s="21">
        <f t="shared" si="142"/>
        <v>4.4421359960316223E-2</v>
      </c>
      <c r="AA801" s="55">
        <f t="shared" si="139"/>
        <v>73072.25</v>
      </c>
      <c r="AB801" s="55">
        <f t="shared" si="140"/>
        <v>0.40999999991618097</v>
      </c>
      <c r="AC801" s="55">
        <f t="shared" si="138"/>
        <v>1644980.0290958905</v>
      </c>
    </row>
    <row r="802" spans="1:29">
      <c r="A802" t="s">
        <v>306</v>
      </c>
      <c r="B802" s="16" t="str">
        <f>INDEX(emprunts!C:C,MATCH($A802,emprunts!A:A,0))</f>
        <v>Dexia CL</v>
      </c>
      <c r="C802" s="18">
        <f>INDEX(emprunts!M:M,MATCH($A802,emprunts!$A:$A,0))</f>
        <v>40452</v>
      </c>
      <c r="D802" s="18">
        <f>IF(INDEX(emprunts!O:O,MATCH($A802,emprunts!$A:$A,0))="",INDEX(emprunts!N:N,MATCH($A802,emprunts!$A:$A,0)),MIN(INDEX(emprunts!N:N,MATCH($A802,emprunts!$A:$A,0)),INDEX(emprunts!O:O,MATCH($A802,emprunts!$A:$A,0))))</f>
        <v>41030</v>
      </c>
      <c r="E802" s="52">
        <f>INDEX(emprunts!I:I,MATCH($A802,emprunts!$A:$A,0))</f>
        <v>15</v>
      </c>
      <c r="F802" s="18" t="str">
        <f>INDEX(emprunts!P:P,MATCH($A802,emprunts!$A:$A,0))</f>
        <v>Change</v>
      </c>
      <c r="G802" s="126" t="str">
        <f>IF(LEFT(A802,3)="vx_","vx",INDEX(Categorie,MATCH($A802,emprunts!$A$2:$A$149,0)))</f>
        <v>Struct</v>
      </c>
      <c r="H802">
        <v>2013</v>
      </c>
      <c r="I802">
        <f t="shared" ref="I802:I861" si="143">1*(C802&lt;DATE(H802,12,31))</f>
        <v>1</v>
      </c>
      <c r="N802"/>
      <c r="O802" s="58"/>
      <c r="Q802" s="58"/>
      <c r="R802" s="58"/>
      <c r="S802" s="58"/>
      <c r="T802" s="58"/>
      <c r="U802" s="58"/>
      <c r="V802" s="14" t="str">
        <f t="shared" si="141"/>
        <v/>
      </c>
      <c r="X802" s="85">
        <f t="shared" ref="X802:X861" si="144">SUMPRODUCT((De=$A802)*(année_refi=$H802),Montant_transfere)</f>
        <v>0</v>
      </c>
      <c r="Y802" s="21" t="str">
        <f t="shared" si="142"/>
        <v/>
      </c>
      <c r="AA802" s="55">
        <f t="shared" si="139"/>
        <v>-90085.06</v>
      </c>
      <c r="AB802" s="55">
        <f t="shared" si="140"/>
        <v>0</v>
      </c>
      <c r="AC802" s="55">
        <f t="shared" si="138"/>
        <v>0</v>
      </c>
    </row>
    <row r="803" spans="1:29">
      <c r="A803" t="s">
        <v>311</v>
      </c>
      <c r="B803" s="16" t="str">
        <f>INDEX(emprunts!C:C,MATCH($A803,emprunts!A:A,0))</f>
        <v>Dexia CL</v>
      </c>
      <c r="C803" s="18">
        <f>INDEX(emprunts!M:M,MATCH($A803,emprunts!$A:$A,0))</f>
        <v>40513</v>
      </c>
      <c r="D803" s="18">
        <f>IF(INDEX(emprunts!O:O,MATCH($A803,emprunts!$A:$A,0))="",INDEX(emprunts!N:N,MATCH($A803,emprunts!$A:$A,0)),MIN(INDEX(emprunts!N:N,MATCH($A803,emprunts!$A:$A,0)),INDEX(emprunts!O:O,MATCH($A803,emprunts!$A:$A,0))))</f>
        <v>40878</v>
      </c>
      <c r="E803" s="52">
        <f>INDEX(emprunts!I:I,MATCH($A803,emprunts!$A:$A,0))</f>
        <v>17</v>
      </c>
      <c r="F803" s="18" t="str">
        <f>INDEX(emprunts!P:P,MATCH($A803,emprunts!$A:$A,0))</f>
        <v>Change</v>
      </c>
      <c r="G803" s="126" t="str">
        <f>IF(LEFT(A803,3)="vx_","vx",INDEX(Categorie,MATCH($A803,emprunts!$A$2:$A$149,0)))</f>
        <v>Struct</v>
      </c>
      <c r="H803">
        <v>2013</v>
      </c>
      <c r="I803">
        <f t="shared" si="143"/>
        <v>1</v>
      </c>
      <c r="N803"/>
      <c r="O803" s="58"/>
      <c r="Q803" s="58"/>
      <c r="R803" s="58"/>
      <c r="S803" s="58"/>
      <c r="T803" s="58"/>
      <c r="U803" s="58"/>
      <c r="V803" s="14" t="str">
        <f t="shared" si="141"/>
        <v/>
      </c>
      <c r="X803" s="85">
        <f t="shared" si="144"/>
        <v>0</v>
      </c>
      <c r="Y803" s="21" t="str">
        <f t="shared" si="142"/>
        <v/>
      </c>
      <c r="AA803" s="55">
        <f t="shared" si="139"/>
        <v>0</v>
      </c>
      <c r="AB803" s="55">
        <f t="shared" si="140"/>
        <v>0</v>
      </c>
      <c r="AC803" s="55">
        <f t="shared" si="138"/>
        <v>0</v>
      </c>
    </row>
    <row r="804" spans="1:29" ht="30">
      <c r="A804" t="s">
        <v>313</v>
      </c>
      <c r="B804" s="16" t="str">
        <f>INDEX(emprunts!C:C,MATCH($A804,emprunts!A:A,0))</f>
        <v>Société Générale</v>
      </c>
      <c r="C804" s="18">
        <f>INDEX(emprunts!M:M,MATCH($A804,emprunts!$A:$A,0))</f>
        <v>40513</v>
      </c>
      <c r="D804" s="18">
        <f>IF(INDEX(emprunts!O:O,MATCH($A804,emprunts!$A:$A,0))="",INDEX(emprunts!N:N,MATCH($A804,emprunts!$A:$A,0)),MIN(INDEX(emprunts!N:N,MATCH($A804,emprunts!$A:$A,0)),INDEX(emprunts!O:O,MATCH($A804,emprunts!$A:$A,0))))</f>
        <v>47818</v>
      </c>
      <c r="E804" s="52">
        <f>INDEX(emprunts!I:I,MATCH($A804,emprunts!$A:$A,0))</f>
        <v>20</v>
      </c>
      <c r="F804" s="18" t="str">
        <f>INDEX(emprunts!P:P,MATCH($A804,emprunts!$A:$A,0))</f>
        <v>Fixe</v>
      </c>
      <c r="G804" s="126" t="str">
        <f>IF(LEFT(A804,3)="vx_","vx",INDEX(Categorie,MATCH($A804,emprunts!$A$2:$A$149,0)))</f>
        <v>Restr_sec</v>
      </c>
      <c r="H804">
        <v>2013</v>
      </c>
      <c r="I804">
        <f t="shared" si="143"/>
        <v>1</v>
      </c>
      <c r="N804"/>
      <c r="O804" s="58">
        <v>2326957</v>
      </c>
      <c r="P804" s="4">
        <v>4.3799999999999999E-2</v>
      </c>
      <c r="Q804" s="58">
        <v>105921.81</v>
      </c>
      <c r="R804" s="58">
        <v>85763.08</v>
      </c>
      <c r="S804" s="58"/>
      <c r="T804" s="58">
        <v>8396.44</v>
      </c>
      <c r="U804" s="58">
        <f t="shared" ref="U804:U812" si="145">SUM(Q804:S804)</f>
        <v>191684.89</v>
      </c>
      <c r="V804" s="14">
        <f t="shared" si="141"/>
        <v>0</v>
      </c>
      <c r="X804" s="85">
        <f t="shared" si="144"/>
        <v>0</v>
      </c>
      <c r="Y804" s="21">
        <f t="shared" si="142"/>
        <v>4.4818582443813447E-2</v>
      </c>
      <c r="AA804" s="55">
        <f t="shared" si="139"/>
        <v>105921.81</v>
      </c>
      <c r="AB804" s="55">
        <f t="shared" si="140"/>
        <v>8.0000000074505806E-2</v>
      </c>
      <c r="AC804" s="55">
        <f t="shared" si="138"/>
        <v>2363345.8316712328</v>
      </c>
    </row>
    <row r="805" spans="1:29">
      <c r="A805" t="s">
        <v>314</v>
      </c>
      <c r="B805" s="16" t="str">
        <f>INDEX(emprunts!C:C,MATCH($A805,emprunts!A:A,0))</f>
        <v>Société Générale</v>
      </c>
      <c r="C805" s="18">
        <f>INDEX(emprunts!M:M,MATCH($A805,emprunts!$A:$A,0))</f>
        <v>40530</v>
      </c>
      <c r="D805" s="18">
        <f>IF(INDEX(emprunts!O:O,MATCH($A805,emprunts!$A:$A,0))="",INDEX(emprunts!N:N,MATCH($A805,emprunts!$A:$A,0)),MIN(INDEX(emprunts!N:N,MATCH($A805,emprunts!$A:$A,0)),INDEX(emprunts!O:O,MATCH($A805,emprunts!$A:$A,0))))</f>
        <v>46112</v>
      </c>
      <c r="E805" s="52">
        <f>INDEX(emprunts!I:I,MATCH($A805,emprunts!$A:$A,0))</f>
        <v>15</v>
      </c>
      <c r="F805" s="18" t="str">
        <f>INDEX(emprunts!P:P,MATCH($A805,emprunts!$A:$A,0))</f>
        <v>Variable</v>
      </c>
      <c r="G805" s="126" t="str">
        <f>IF(LEFT(A805,3)="vx_","vx",INDEX(Categorie,MATCH($A805,emprunts!$A$2:$A$149,0)))</f>
        <v>Non_st</v>
      </c>
      <c r="H805">
        <v>2013</v>
      </c>
      <c r="I805">
        <f t="shared" si="143"/>
        <v>1</v>
      </c>
      <c r="N805"/>
      <c r="O805" s="58">
        <v>6946484</v>
      </c>
      <c r="P805" s="4">
        <v>1.09E-2</v>
      </c>
      <c r="Q805" s="58">
        <v>78046.33</v>
      </c>
      <c r="R805" s="58">
        <v>400055.48</v>
      </c>
      <c r="S805" s="58"/>
      <c r="T805" s="58">
        <v>0</v>
      </c>
      <c r="U805" s="58">
        <f t="shared" si="145"/>
        <v>478101.81</v>
      </c>
      <c r="V805" s="14">
        <f t="shared" si="141"/>
        <v>0</v>
      </c>
      <c r="X805" s="85">
        <f t="shared" si="144"/>
        <v>0</v>
      </c>
      <c r="Y805" s="21">
        <f t="shared" si="142"/>
        <v>1.0950901060788783E-2</v>
      </c>
      <c r="AA805" s="55">
        <f t="shared" si="139"/>
        <v>78046.33</v>
      </c>
      <c r="AB805" s="55">
        <f t="shared" si="140"/>
        <v>-0.51999999955296516</v>
      </c>
      <c r="AC805" s="55">
        <f t="shared" si="138"/>
        <v>7126932.2557808226</v>
      </c>
    </row>
    <row r="806" spans="1:29">
      <c r="A806" t="s">
        <v>317</v>
      </c>
      <c r="B806" s="16" t="str">
        <f>INDEX(emprunts!C:C,MATCH($A806,emprunts!A:A,0))</f>
        <v>Dexia CL</v>
      </c>
      <c r="C806" s="18">
        <f>INDEX(emprunts!M:M,MATCH($A806,emprunts!$A:$A,0))</f>
        <v>40634</v>
      </c>
      <c r="D806" s="18">
        <f>IF(INDEX(emprunts!O:O,MATCH($A806,emprunts!$A:$A,0))="",INDEX(emprunts!N:N,MATCH($A806,emprunts!$A:$A,0)),MIN(INDEX(emprunts!N:N,MATCH($A806,emprunts!$A:$A,0)),INDEX(emprunts!O:O,MATCH($A806,emprunts!$A:$A,0))))</f>
        <v>41760</v>
      </c>
      <c r="E806" s="52">
        <f>INDEX(emprunts!I:I,MATCH($A806,emprunts!$A:$A,0))</f>
        <v>25</v>
      </c>
      <c r="F806" s="18" t="str">
        <f>INDEX(emprunts!P:P,MATCH($A806,emprunts!$A:$A,0))</f>
        <v>Barrière avec multiplicateur</v>
      </c>
      <c r="G806" s="126" t="str">
        <f>IF(LEFT(A806,3)="vx_","vx",INDEX(Categorie,MATCH($A806,emprunts!$A$2:$A$149,0)))</f>
        <v>Struct</v>
      </c>
      <c r="H806">
        <v>2013</v>
      </c>
      <c r="I806">
        <f t="shared" si="143"/>
        <v>1</v>
      </c>
      <c r="N806"/>
      <c r="O806" s="58">
        <v>12311783</v>
      </c>
      <c r="P806" s="4">
        <v>9.4999999999999998E-3</v>
      </c>
      <c r="Q806" s="58">
        <v>113012.08</v>
      </c>
      <c r="R806" s="58">
        <v>238016.48</v>
      </c>
      <c r="S806" s="58"/>
      <c r="T806" s="58">
        <v>85951.26</v>
      </c>
      <c r="U806" s="58">
        <f t="shared" si="145"/>
        <v>351028.56</v>
      </c>
      <c r="V806" s="14">
        <f t="shared" si="141"/>
        <v>0</v>
      </c>
      <c r="X806" s="85">
        <f t="shared" si="144"/>
        <v>0</v>
      </c>
      <c r="Y806" s="21">
        <f t="shared" si="142"/>
        <v>7.4448252203025587E-3</v>
      </c>
      <c r="AA806" s="55">
        <f t="shared" si="139"/>
        <v>92291.51999999999</v>
      </c>
      <c r="AB806" s="55">
        <f t="shared" si="140"/>
        <v>-44999.519999999553</v>
      </c>
      <c r="AC806" s="55">
        <f t="shared" si="138"/>
        <v>12396734.27769863</v>
      </c>
    </row>
    <row r="807" spans="1:29">
      <c r="A807" s="1" t="s">
        <v>489</v>
      </c>
      <c r="B807" s="16" t="str">
        <f>INDEX(emprunts!C:C,MATCH($A807,emprunts!A:A,0))</f>
        <v>Dexia CL</v>
      </c>
      <c r="C807" s="18">
        <f>INDEX(emprunts!M:M,MATCH($A807,emprunts!$A:$A,0))</f>
        <v>40725</v>
      </c>
      <c r="D807" s="18">
        <f>IF(INDEX(emprunts!O:O,MATCH($A807,emprunts!$A:$A,0))="",INDEX(emprunts!N:N,MATCH($A807,emprunts!$A:$A,0)),MIN(INDEX(emprunts!N:N,MATCH($A807,emprunts!$A:$A,0)),INDEX(emprunts!O:O,MATCH($A807,emprunts!$A:$A,0))))</f>
        <v>49796</v>
      </c>
      <c r="E807" s="52">
        <f>INDEX(emprunts!I:I,MATCH($A807,emprunts!$A:$A,0))</f>
        <v>25</v>
      </c>
      <c r="F807" s="18" t="str">
        <f>INDEX(emprunts!P:P,MATCH($A807,emprunts!$A:$A,0))</f>
        <v>Barrière avec multiplicateur</v>
      </c>
      <c r="G807" s="126" t="str">
        <f>IF(LEFT(A807,3)="vx_","vx",INDEX(Categorie,MATCH($A807,emprunts!$A$2:$A$149,0)))</f>
        <v>Struct</v>
      </c>
      <c r="H807">
        <v>2013</v>
      </c>
      <c r="I807">
        <f t="shared" si="143"/>
        <v>1</v>
      </c>
      <c r="N807"/>
      <c r="O807" s="58">
        <v>13293435</v>
      </c>
      <c r="P807" s="4">
        <v>4.0300000000000002E-2</v>
      </c>
      <c r="Q807" s="58">
        <v>576208.9</v>
      </c>
      <c r="R807" s="58">
        <v>320064.27</v>
      </c>
      <c r="S807" s="58"/>
      <c r="T807" s="58">
        <v>376536.09</v>
      </c>
      <c r="U807" s="58">
        <f t="shared" si="145"/>
        <v>896273.17</v>
      </c>
      <c r="V807" s="14">
        <f t="shared" si="141"/>
        <v>0</v>
      </c>
      <c r="X807" s="85">
        <f t="shared" si="144"/>
        <v>0</v>
      </c>
      <c r="Y807" s="21">
        <f t="shared" si="142"/>
        <v>4.2947433972641606E-2</v>
      </c>
      <c r="AA807" s="55">
        <f t="shared" si="139"/>
        <v>576208.89999999991</v>
      </c>
      <c r="AB807" s="55">
        <f t="shared" si="140"/>
        <v>-629999.73000000045</v>
      </c>
      <c r="AC807" s="55">
        <f t="shared" si="138"/>
        <v>13416608.320931507</v>
      </c>
    </row>
    <row r="808" spans="1:29">
      <c r="A808" s="1" t="s">
        <v>487</v>
      </c>
      <c r="B808" s="16" t="str">
        <f>INDEX(emprunts!C:C,MATCH($A808,emprunts!A:A,0))</f>
        <v>Dexia CL</v>
      </c>
      <c r="C808" s="18">
        <f>INDEX(emprunts!M:M,MATCH($A808,emprunts!$A:$A,0))</f>
        <v>40737</v>
      </c>
      <c r="D808" s="18">
        <f>IF(INDEX(emprunts!O:O,MATCH($A808,emprunts!$A:$A,0))="",INDEX(emprunts!N:N,MATCH($A808,emprunts!$A:$A,0)),MIN(INDEX(emprunts!N:N,MATCH($A808,emprunts!$A:$A,0)),INDEX(emprunts!O:O,MATCH($A808,emprunts!$A:$A,0))))</f>
        <v>42644</v>
      </c>
      <c r="E808" s="52">
        <f>INDEX(emprunts!I:I,MATCH($A808,emprunts!$A:$A,0))</f>
        <v>15</v>
      </c>
      <c r="F808" s="18" t="str">
        <f>INDEX(emprunts!P:P,MATCH($A808,emprunts!$A:$A,0))</f>
        <v>Change</v>
      </c>
      <c r="G808" s="126" t="str">
        <f>IF(LEFT(A808,3)="vx_","vx",INDEX(Categorie,MATCH($A808,emprunts!$A$2:$A$149,0)))</f>
        <v>Struct</v>
      </c>
      <c r="H808">
        <v>2013</v>
      </c>
      <c r="I808">
        <f t="shared" si="143"/>
        <v>1</v>
      </c>
      <c r="N808" s="58"/>
      <c r="O808" s="58">
        <v>12726842</v>
      </c>
      <c r="P808" s="4">
        <v>3.9800000000000002E-2</v>
      </c>
      <c r="Q808" s="58">
        <v>535737.46</v>
      </c>
      <c r="R808" s="58">
        <v>684289.17</v>
      </c>
      <c r="S808" s="58"/>
      <c r="T808" s="58">
        <v>254897.44</v>
      </c>
      <c r="U808" s="58">
        <f t="shared" si="145"/>
        <v>1220026.6299999999</v>
      </c>
      <c r="V808" s="14">
        <f t="shared" si="141"/>
        <v>0</v>
      </c>
      <c r="X808" s="85">
        <f t="shared" si="144"/>
        <v>0</v>
      </c>
      <c r="Y808" s="21">
        <f t="shared" si="142"/>
        <v>3.3456342334163586E-2</v>
      </c>
      <c r="AA808" s="55">
        <f t="shared" si="139"/>
        <v>436042.56999999989</v>
      </c>
      <c r="AB808" s="55">
        <f t="shared" si="140"/>
        <v>-0.83000000007450581</v>
      </c>
      <c r="AC808" s="55">
        <f t="shared" si="138"/>
        <v>13033181.142301371</v>
      </c>
    </row>
    <row r="809" spans="1:29">
      <c r="A809" t="s">
        <v>324</v>
      </c>
      <c r="B809" s="16" t="str">
        <f>INDEX(emprunts!C:C,MATCH($A809,emprunts!A:A,0))</f>
        <v>Caisse d'Épargne</v>
      </c>
      <c r="C809" s="18">
        <f>INDEX(emprunts!M:M,MATCH($A809,emprunts!$A:$A,0))</f>
        <v>40732</v>
      </c>
      <c r="D809" s="18">
        <f>IF(INDEX(emprunts!O:O,MATCH($A809,emprunts!$A:$A,0))="",INDEX(emprunts!N:N,MATCH($A809,emprunts!$A:$A,0)),MIN(INDEX(emprunts!N:N,MATCH($A809,emprunts!$A:$A,0)),INDEX(emprunts!O:O,MATCH($A809,emprunts!$A:$A,0))))</f>
        <v>46536</v>
      </c>
      <c r="E809" s="52">
        <f>INDEX(emprunts!I:I,MATCH($A809,emprunts!$A:$A,0))</f>
        <v>15</v>
      </c>
      <c r="F809" s="18" t="str">
        <f>INDEX(emprunts!P:P,MATCH($A809,emprunts!$A:$A,0))</f>
        <v>Variable</v>
      </c>
      <c r="G809" s="126" t="str">
        <f>IF(LEFT(A809,3)="vx_","vx",INDEX(Categorie,MATCH($A809,emprunts!$A$2:$A$149,0)))</f>
        <v>Non_st</v>
      </c>
      <c r="H809">
        <v>2013</v>
      </c>
      <c r="I809">
        <f t="shared" si="143"/>
        <v>1</v>
      </c>
      <c r="N809"/>
      <c r="O809" s="58">
        <v>4650540</v>
      </c>
      <c r="P809" s="4">
        <v>1.37E-2</v>
      </c>
      <c r="Q809" s="58">
        <v>65691.75</v>
      </c>
      <c r="R809" s="58">
        <v>235855.35999999999</v>
      </c>
      <c r="S809" s="58"/>
      <c r="T809" s="58">
        <v>5871.15</v>
      </c>
      <c r="U809" s="58">
        <f t="shared" si="145"/>
        <v>301547.11</v>
      </c>
      <c r="V809" s="14">
        <f t="shared" si="141"/>
        <v>0</v>
      </c>
      <c r="X809" s="85">
        <f t="shared" si="144"/>
        <v>0</v>
      </c>
      <c r="Y809" s="21">
        <f t="shared" si="142"/>
        <v>1.3815797458408306E-2</v>
      </c>
      <c r="AA809" s="55">
        <f t="shared" si="139"/>
        <v>65699.689999999988</v>
      </c>
      <c r="AB809" s="55">
        <f t="shared" si="140"/>
        <v>0.36000000033527613</v>
      </c>
      <c r="AC809" s="55">
        <f t="shared" si="138"/>
        <v>4755403.384986301</v>
      </c>
    </row>
    <row r="810" spans="1:29">
      <c r="A810" t="s">
        <v>328</v>
      </c>
      <c r="B810" s="16" t="str">
        <f>INDEX(emprunts!C:C,MATCH($A810,emprunts!A:A,0))</f>
        <v>Caisse d'Épargne</v>
      </c>
      <c r="C810" s="18">
        <f>INDEX(emprunts!M:M,MATCH($A810,emprunts!$A:$A,0))</f>
        <v>40732</v>
      </c>
      <c r="D810" s="18">
        <f>IF(INDEX(emprunts!O:O,MATCH($A810,emprunts!$A:$A,0))="",INDEX(emprunts!N:N,MATCH($A810,emprunts!$A:$A,0)),MIN(INDEX(emprunts!N:N,MATCH($A810,emprunts!$A:$A,0)),INDEX(emprunts!O:O,MATCH($A810,emprunts!$A:$A,0))))</f>
        <v>46536</v>
      </c>
      <c r="E810" s="52">
        <f>INDEX(emprunts!I:I,MATCH($A810,emprunts!$A:$A,0))</f>
        <v>15</v>
      </c>
      <c r="F810" s="18" t="str">
        <f>INDEX(emprunts!P:P,MATCH($A810,emprunts!$A:$A,0))</f>
        <v>Variable</v>
      </c>
      <c r="G810" s="126" t="str">
        <f>IF(LEFT(A810,3)="vx_","vx",INDEX(Categorie,MATCH($A810,emprunts!$A$2:$A$149,0)))</f>
        <v>Non_st</v>
      </c>
      <c r="H810">
        <v>2013</v>
      </c>
      <c r="I810">
        <f t="shared" si="143"/>
        <v>1</v>
      </c>
      <c r="N810"/>
      <c r="O810" s="58">
        <v>4650540</v>
      </c>
      <c r="P810" s="4">
        <v>1.0699999999999999E-2</v>
      </c>
      <c r="Q810" s="58">
        <v>51306.35</v>
      </c>
      <c r="R810" s="58">
        <v>235855.35999999999</v>
      </c>
      <c r="S810" s="58"/>
      <c r="T810" s="58">
        <v>4647.99</v>
      </c>
      <c r="U810" s="58">
        <f t="shared" si="145"/>
        <v>287161.70999999996</v>
      </c>
      <c r="V810" s="14">
        <f t="shared" si="141"/>
        <v>0</v>
      </c>
      <c r="X810" s="85">
        <f t="shared" si="144"/>
        <v>0</v>
      </c>
      <c r="Y810" s="21">
        <f t="shared" si="142"/>
        <v>1.0803508312712359E-2</v>
      </c>
      <c r="AA810" s="55">
        <f t="shared" si="139"/>
        <v>51375.039999999994</v>
      </c>
      <c r="AB810" s="55">
        <f t="shared" si="140"/>
        <v>0.36000000033527613</v>
      </c>
      <c r="AC810" s="55">
        <f t="shared" si="138"/>
        <v>4755403.384986301</v>
      </c>
    </row>
    <row r="811" spans="1:29">
      <c r="A811" t="s">
        <v>331</v>
      </c>
      <c r="B811" s="16" t="str">
        <f>INDEX(emprunts!C:C,MATCH($A811,emprunts!A:A,0))</f>
        <v>Dexia CL</v>
      </c>
      <c r="C811" s="18">
        <f>INDEX(emprunts!M:M,MATCH($A811,emprunts!$A:$A,0))</f>
        <v>40848</v>
      </c>
      <c r="D811" s="18">
        <f>IF(INDEX(emprunts!O:O,MATCH($A811,emprunts!$A:$A,0))="",INDEX(emprunts!N:N,MATCH($A811,emprunts!$A:$A,0)),MIN(INDEX(emprunts!N:N,MATCH($A811,emprunts!$A:$A,0)),INDEX(emprunts!O:O,MATCH($A811,emprunts!$A:$A,0))))</f>
        <v>43101</v>
      </c>
      <c r="E811" s="52">
        <f>INDEX(emprunts!I:I,MATCH($A811,emprunts!$A:$A,0))</f>
        <v>21.17</v>
      </c>
      <c r="F811" s="18" t="str">
        <f>INDEX(emprunts!P:P,MATCH($A811,emprunts!$A:$A,0))</f>
        <v>Barrière avec multiplicateur</v>
      </c>
      <c r="G811" s="126" t="str">
        <f>IF(LEFT(A811,3)="vx_","vx",INDEX(Categorie,MATCH($A811,emprunts!$A$2:$A$149,0)))</f>
        <v>Struct</v>
      </c>
      <c r="H811">
        <v>2013</v>
      </c>
      <c r="I811">
        <f t="shared" si="143"/>
        <v>1</v>
      </c>
      <c r="N811"/>
      <c r="O811" s="58">
        <v>8708301</v>
      </c>
      <c r="P811" s="4">
        <v>3.5400000000000001E-2</v>
      </c>
      <c r="Q811" s="58">
        <v>319911.93</v>
      </c>
      <c r="R811" s="58">
        <v>282198.24</v>
      </c>
      <c r="S811" s="58"/>
      <c r="T811" s="58">
        <v>308177.09000000003</v>
      </c>
      <c r="U811" s="58">
        <f t="shared" si="145"/>
        <v>602110.16999999993</v>
      </c>
      <c r="V811" s="14">
        <f t="shared" si="141"/>
        <v>0</v>
      </c>
      <c r="X811" s="85">
        <f t="shared" si="144"/>
        <v>0</v>
      </c>
      <c r="Y811" s="21">
        <f t="shared" si="142"/>
        <v>3.6250006167488268E-2</v>
      </c>
      <c r="AA811" s="55">
        <f t="shared" si="139"/>
        <v>319911.93</v>
      </c>
      <c r="AB811" s="55">
        <f t="shared" si="140"/>
        <v>0.24000000022351742</v>
      </c>
      <c r="AC811" s="55">
        <f t="shared" si="138"/>
        <v>8825155.1881643832</v>
      </c>
    </row>
    <row r="812" spans="1:29">
      <c r="A812" t="s">
        <v>333</v>
      </c>
      <c r="B812" s="16" t="str">
        <f>INDEX(emprunts!C:C,MATCH($A812,emprunts!A:A,0))</f>
        <v>Dexia CL</v>
      </c>
      <c r="C812" s="18">
        <f>INDEX(emprunts!M:M,MATCH($A812,emprunts!$A:$A,0))</f>
        <v>40848</v>
      </c>
      <c r="D812" s="18">
        <f>IF(INDEX(emprunts!O:O,MATCH($A812,emprunts!$A:$A,0))="",INDEX(emprunts!N:N,MATCH($A812,emprunts!$A:$A,0)),MIN(INDEX(emprunts!N:N,MATCH($A812,emprunts!$A:$A,0)),INDEX(emprunts!O:O,MATCH($A812,emprunts!$A:$A,0))))</f>
        <v>41654</v>
      </c>
      <c r="E812" s="52">
        <f>INDEX(emprunts!I:I,MATCH($A812,emprunts!$A:$A,0))</f>
        <v>22</v>
      </c>
      <c r="F812" s="18" t="str">
        <f>INDEX(emprunts!P:P,MATCH($A812,emprunts!$A:$A,0))</f>
        <v>Change</v>
      </c>
      <c r="G812" s="126" t="str">
        <f>IF(LEFT(A812,3)="vx_","vx",INDEX(Categorie,MATCH($A812,emprunts!$A$2:$A$149,0)))</f>
        <v>Struct</v>
      </c>
      <c r="H812">
        <v>2013</v>
      </c>
      <c r="I812">
        <f t="shared" si="143"/>
        <v>1</v>
      </c>
      <c r="N812"/>
      <c r="O812" s="58">
        <v>7369029</v>
      </c>
      <c r="P812" s="4">
        <v>8.8300000000000003E-2</v>
      </c>
      <c r="Q812" s="58">
        <v>375314.87</v>
      </c>
      <c r="R812" s="58">
        <v>621196.30000000005</v>
      </c>
      <c r="S812" s="58"/>
      <c r="T812" s="58">
        <v>36476.699999999997</v>
      </c>
      <c r="U812" s="58">
        <f t="shared" si="145"/>
        <v>996511.17</v>
      </c>
      <c r="V812" s="14">
        <f t="shared" si="141"/>
        <v>0</v>
      </c>
      <c r="X812" s="85">
        <f t="shared" si="144"/>
        <v>0</v>
      </c>
      <c r="Y812" s="21">
        <f t="shared" si="142"/>
        <v>4.2894289345604693E-2</v>
      </c>
      <c r="AA812" s="55">
        <f t="shared" si="139"/>
        <v>328509.65000000002</v>
      </c>
      <c r="AB812" s="55">
        <f t="shared" si="140"/>
        <v>0.29999999981373549</v>
      </c>
      <c r="AC812" s="55">
        <f t="shared" si="138"/>
        <v>7658587.0756164389</v>
      </c>
    </row>
    <row r="813" spans="1:29">
      <c r="A813" t="s">
        <v>336</v>
      </c>
      <c r="B813" s="16" t="str">
        <f>INDEX(emprunts!C:C,MATCH($A813,emprunts!A:A,0))</f>
        <v>Dexia CL</v>
      </c>
      <c r="C813" s="18">
        <f>INDEX(emprunts!M:M,MATCH($A813,emprunts!$A:$A,0))</f>
        <v>40878</v>
      </c>
      <c r="D813" s="18">
        <f>IF(INDEX(emprunts!O:O,MATCH($A813,emprunts!$A:$A,0))="",INDEX(emprunts!N:N,MATCH($A813,emprunts!$A:$A,0)),MIN(INDEX(emprunts!N:N,MATCH($A813,emprunts!$A:$A,0)),INDEX(emprunts!O:O,MATCH($A813,emprunts!$A:$A,0))))</f>
        <v>41244</v>
      </c>
      <c r="E813" s="52">
        <f>INDEX(emprunts!I:I,MATCH($A813,emprunts!$A:$A,0))</f>
        <v>18</v>
      </c>
      <c r="F813" s="18" t="str">
        <f>INDEX(emprunts!P:P,MATCH($A813,emprunts!$A:$A,0))</f>
        <v>Change</v>
      </c>
      <c r="G813" s="126" t="str">
        <f>IF(LEFT(A813,3)="vx_","vx",INDEX(Categorie,MATCH($A813,emprunts!$A$2:$A$149,0)))</f>
        <v>Struct</v>
      </c>
      <c r="H813">
        <v>2013</v>
      </c>
      <c r="I813">
        <f t="shared" si="143"/>
        <v>1</v>
      </c>
      <c r="N813"/>
      <c r="O813" s="58"/>
      <c r="Q813" s="58"/>
      <c r="R813" s="58"/>
      <c r="S813" s="58"/>
      <c r="T813" s="58"/>
      <c r="U813" s="58"/>
      <c r="V813" s="14" t="str">
        <f t="shared" si="141"/>
        <v/>
      </c>
      <c r="X813" s="85">
        <f t="shared" si="144"/>
        <v>0</v>
      </c>
      <c r="Y813" s="21" t="str">
        <f t="shared" si="142"/>
        <v/>
      </c>
      <c r="AA813" s="55">
        <f t="shared" si="139"/>
        <v>-47918.94</v>
      </c>
      <c r="AB813" s="55">
        <f t="shared" si="140"/>
        <v>0</v>
      </c>
      <c r="AC813" s="55">
        <f t="shared" si="138"/>
        <v>0</v>
      </c>
    </row>
    <row r="814" spans="1:29">
      <c r="A814" t="s">
        <v>338</v>
      </c>
      <c r="B814" s="16" t="str">
        <f>INDEX(emprunts!C:C,MATCH($A814,emprunts!A:A,0))</f>
        <v>Dexia CL</v>
      </c>
      <c r="C814" s="18">
        <f>INDEX(emprunts!M:M,MATCH($A814,emprunts!$A:$A,0))</f>
        <v>40878</v>
      </c>
      <c r="D814" s="18">
        <f>IF(INDEX(emprunts!O:O,MATCH($A814,emprunts!$A:$A,0))="",INDEX(emprunts!N:N,MATCH($A814,emprunts!$A:$A,0)),MIN(INDEX(emprunts!N:N,MATCH($A814,emprunts!$A:$A,0)),INDEX(emprunts!O:O,MATCH($A814,emprunts!$A:$A,0))))</f>
        <v>49644</v>
      </c>
      <c r="E814" s="52">
        <f>INDEX(emprunts!I:I,MATCH($A814,emprunts!$A:$A,0))</f>
        <v>24</v>
      </c>
      <c r="F814" s="18" t="str">
        <f>INDEX(emprunts!P:P,MATCH($A814,emprunts!$A:$A,0))</f>
        <v>Variable</v>
      </c>
      <c r="G814" s="126" t="str">
        <f>IF(LEFT(A814,3)="vx_","vx",INDEX(Categorie,MATCH($A814,emprunts!$A$2:$A$149,0)))</f>
        <v>Non_st</v>
      </c>
      <c r="H814">
        <v>2013</v>
      </c>
      <c r="I814">
        <f t="shared" si="143"/>
        <v>1</v>
      </c>
      <c r="N814"/>
      <c r="O814" s="58">
        <v>4471278</v>
      </c>
      <c r="P814" s="4">
        <v>6.1999999999999998E-3</v>
      </c>
      <c r="Q814" s="58">
        <v>28164.560000000001</v>
      </c>
      <c r="R814" s="58">
        <v>178218.66</v>
      </c>
      <c r="S814" s="58"/>
      <c r="T814" s="58">
        <v>2358.6</v>
      </c>
      <c r="U814" s="58">
        <f>SUM(Q814:S814)</f>
        <v>206383.22</v>
      </c>
      <c r="V814" s="14">
        <f t="shared" si="141"/>
        <v>0</v>
      </c>
      <c r="X814" s="85">
        <f t="shared" si="144"/>
        <v>0</v>
      </c>
      <c r="Y814" s="21">
        <f t="shared" si="142"/>
        <v>6.0798438489528166E-3</v>
      </c>
      <c r="AA814" s="55">
        <f t="shared" si="139"/>
        <v>27650.48</v>
      </c>
      <c r="AB814" s="55">
        <f t="shared" si="140"/>
        <v>-0.33999999985098839</v>
      </c>
      <c r="AC814" s="55">
        <f t="shared" si="138"/>
        <v>4547893.1181369862</v>
      </c>
    </row>
    <row r="815" spans="1:29">
      <c r="A815" t="s">
        <v>339</v>
      </c>
      <c r="B815" s="16" t="str">
        <f>INDEX(emprunts!C:C,MATCH($A815,emprunts!A:A,0))</f>
        <v>Caisse d'Épargne</v>
      </c>
      <c r="C815" s="18">
        <f>INDEX(emprunts!M:M,MATCH($A815,emprunts!$A:$A,0))</f>
        <v>40913</v>
      </c>
      <c r="D815" s="18">
        <f>IF(INDEX(emprunts!O:O,MATCH($A815,emprunts!$A:$A,0))="",INDEX(emprunts!N:N,MATCH($A815,emprunts!$A:$A,0)),MIN(INDEX(emprunts!N:N,MATCH($A815,emprunts!$A:$A,0)),INDEX(emprunts!O:O,MATCH($A815,emprunts!$A:$A,0))))</f>
        <v>48218</v>
      </c>
      <c r="E815" s="52">
        <f>INDEX(emprunts!I:I,MATCH($A815,emprunts!$A:$A,0))</f>
        <v>20</v>
      </c>
      <c r="F815" s="18" t="str">
        <f>INDEX(emprunts!P:P,MATCH($A815,emprunts!$A:$A,0))</f>
        <v>Barrière</v>
      </c>
      <c r="G815" s="126" t="str">
        <f>IF(LEFT(A815,3)="vx_","vx",INDEX(Categorie,MATCH($A815,emprunts!$A$2:$A$149,0)))</f>
        <v>Struct</v>
      </c>
      <c r="H815">
        <v>2013</v>
      </c>
      <c r="I815">
        <f t="shared" si="143"/>
        <v>1</v>
      </c>
      <c r="N815"/>
      <c r="O815" s="58">
        <v>6270153</v>
      </c>
      <c r="P815" s="4">
        <v>4.9000000000000002E-2</v>
      </c>
      <c r="Q815" s="58">
        <v>320504.17</v>
      </c>
      <c r="R815" s="58">
        <v>229847</v>
      </c>
      <c r="S815" s="58"/>
      <c r="T815" s="58">
        <v>304102.43</v>
      </c>
      <c r="U815" s="58">
        <f>SUM(Q815:S815)</f>
        <v>550351.16999999993</v>
      </c>
      <c r="V815" s="14">
        <f t="shared" si="141"/>
        <v>0</v>
      </c>
      <c r="X815" s="85">
        <f t="shared" si="144"/>
        <v>0</v>
      </c>
      <c r="Y815" s="21">
        <f t="shared" si="142"/>
        <v>5.0333723638477691E-2</v>
      </c>
      <c r="AA815" s="55">
        <f t="shared" si="139"/>
        <v>320504.17</v>
      </c>
      <c r="AB815" s="55">
        <f t="shared" si="140"/>
        <v>0</v>
      </c>
      <c r="AC815" s="55">
        <f t="shared" si="138"/>
        <v>6367583.1397260278</v>
      </c>
    </row>
    <row r="816" spans="1:29">
      <c r="A816" t="s">
        <v>340</v>
      </c>
      <c r="B816" s="16" t="str">
        <f>INDEX(emprunts!C:C,MATCH($A816,emprunts!A:A,0))</f>
        <v>Caisse d'Épargne</v>
      </c>
      <c r="C816" s="18">
        <f>INDEX(emprunts!M:M,MATCH($A816,emprunts!$A:$A,0))</f>
        <v>40964</v>
      </c>
      <c r="D816" s="18">
        <f>IF(INDEX(emprunts!O:O,MATCH($A816,emprunts!$A:$A,0))="",INDEX(emprunts!N:N,MATCH($A816,emprunts!$A:$A,0)),MIN(INDEX(emprunts!N:N,MATCH($A816,emprunts!$A:$A,0)),INDEX(emprunts!O:O,MATCH($A816,emprunts!$A:$A,0))))</f>
        <v>41330</v>
      </c>
      <c r="E816" s="52">
        <f>INDEX(emprunts!I:I,MATCH($A816,emprunts!$A:$A,0))</f>
        <v>14</v>
      </c>
      <c r="F816" s="18" t="str">
        <f>INDEX(emprunts!P:P,MATCH($A816,emprunts!$A:$A,0))</f>
        <v>Courbes</v>
      </c>
      <c r="G816" s="126" t="str">
        <f>IF(LEFT(A816,3)="vx_","vx",INDEX(Categorie,MATCH($A816,emprunts!$A$2:$A$149,0)))</f>
        <v>Struct</v>
      </c>
      <c r="H816">
        <v>2013</v>
      </c>
      <c r="I816">
        <f t="shared" si="143"/>
        <v>1</v>
      </c>
      <c r="N816"/>
      <c r="O816" s="58"/>
      <c r="Q816" s="58"/>
      <c r="R816" s="58"/>
      <c r="S816" s="58"/>
      <c r="T816" s="58"/>
      <c r="U816" s="58"/>
      <c r="V816" s="14" t="str">
        <f t="shared" si="141"/>
        <v/>
      </c>
      <c r="X816" s="85">
        <f t="shared" si="144"/>
        <v>11349000</v>
      </c>
      <c r="Y816" s="21" t="str">
        <f t="shared" si="142"/>
        <v/>
      </c>
      <c r="AA816" s="55">
        <f t="shared" si="139"/>
        <v>-997241.29</v>
      </c>
      <c r="AB816" s="55">
        <f t="shared" si="140"/>
        <v>180</v>
      </c>
      <c r="AC816" s="55">
        <f t="shared" si="138"/>
        <v>1710123.2876712328</v>
      </c>
    </row>
    <row r="817" spans="1:29">
      <c r="A817" t="s">
        <v>342</v>
      </c>
      <c r="B817" s="16" t="str">
        <f>INDEX(emprunts!C:C,MATCH($A817,emprunts!A:A,0))</f>
        <v>CDC</v>
      </c>
      <c r="C817" s="18">
        <f>INDEX(emprunts!M:M,MATCH($A817,emprunts!$A:$A,0))</f>
        <v>40991</v>
      </c>
      <c r="D817" s="18">
        <f>IF(INDEX(emprunts!O:O,MATCH($A817,emprunts!$A:$A,0))="",INDEX(emprunts!N:N,MATCH($A817,emprunts!$A:$A,0)),MIN(INDEX(emprunts!N:N,MATCH($A817,emprunts!$A:$A,0)),INDEX(emprunts!O:O,MATCH($A817,emprunts!$A:$A,0))))</f>
        <v>46661</v>
      </c>
      <c r="E817" s="52">
        <f>INDEX(emprunts!I:I,MATCH($A817,emprunts!$A:$A,0))</f>
        <v>15.25</v>
      </c>
      <c r="F817" s="18" t="str">
        <f>INDEX(emprunts!P:P,MATCH($A817,emprunts!$A:$A,0))</f>
        <v>Variable</v>
      </c>
      <c r="G817" s="126" t="str">
        <f>IF(LEFT(A817,3)="vx_","vx",INDEX(Categorie,MATCH($A817,emprunts!$A$2:$A$149,0)))</f>
        <v>Non_st</v>
      </c>
      <c r="H817">
        <v>2013</v>
      </c>
      <c r="I817">
        <f t="shared" si="143"/>
        <v>1</v>
      </c>
      <c r="N817"/>
      <c r="O817" s="58">
        <v>5729167</v>
      </c>
      <c r="P817" s="4">
        <v>2.2100000000000002E-2</v>
      </c>
      <c r="Q817" s="58">
        <v>132934.47</v>
      </c>
      <c r="R817" s="58">
        <v>416666.68</v>
      </c>
      <c r="S817" s="58"/>
      <c r="T817" s="58">
        <v>31932.94</v>
      </c>
      <c r="U817" s="58">
        <f>SUM(Q817:S817)</f>
        <v>549601.15</v>
      </c>
      <c r="V817" s="14">
        <f t="shared" si="141"/>
        <v>0</v>
      </c>
      <c r="X817" s="85">
        <f t="shared" si="144"/>
        <v>0</v>
      </c>
      <c r="Y817" s="21">
        <f t="shared" si="142"/>
        <v>2.216228194664939E-2</v>
      </c>
      <c r="AA817" s="55">
        <f t="shared" si="139"/>
        <v>131228.04</v>
      </c>
      <c r="AB817" s="55">
        <f t="shared" si="140"/>
        <v>0.67999999970197678</v>
      </c>
      <c r="AC817" s="55">
        <f t="shared" si="138"/>
        <v>5921233.2157808216</v>
      </c>
    </row>
    <row r="818" spans="1:29">
      <c r="A818" s="1" t="s">
        <v>531</v>
      </c>
      <c r="B818" s="16" t="str">
        <f>INDEX(emprunts!C:C,MATCH($A818,emprunts!A:A,0))</f>
        <v>Dexia CL</v>
      </c>
      <c r="C818" s="18">
        <f>INDEX(emprunts!M:M,MATCH($A818,emprunts!$A:$A,0))</f>
        <v>41030</v>
      </c>
      <c r="D818" s="18">
        <f>IF(INDEX(emprunts!O:O,MATCH($A818,emprunts!$A:$A,0))="",INDEX(emprunts!N:N,MATCH($A818,emprunts!$A:$A,0)),MIN(INDEX(emprunts!N:N,MATCH($A818,emprunts!$A:$A,0)),INDEX(emprunts!O:O,MATCH($A818,emprunts!$A:$A,0))))</f>
        <v>48122</v>
      </c>
      <c r="E818" s="52">
        <f>INDEX(emprunts!I:I,MATCH($A818,emprunts!$A:$A,0))</f>
        <v>19.420000000000002</v>
      </c>
      <c r="F818" s="18" t="str">
        <f>INDEX(emprunts!P:P,MATCH($A818,emprunts!$A:$A,0))</f>
        <v>Barrière avec multiplicateur</v>
      </c>
      <c r="G818" s="126" t="str">
        <f>IF(LEFT(A818,3)="vx_","vx",INDEX(Categorie,MATCH($A818,emprunts!$A$2:$A$149,0)))</f>
        <v>Struct</v>
      </c>
      <c r="H818">
        <v>2013</v>
      </c>
      <c r="I818">
        <f t="shared" si="143"/>
        <v>1</v>
      </c>
      <c r="N818"/>
      <c r="O818" s="58">
        <v>14843394</v>
      </c>
      <c r="P818" s="4">
        <v>2.3199999999999998E-2</v>
      </c>
      <c r="Q818" s="58">
        <v>354279.17</v>
      </c>
      <c r="R818" s="58">
        <v>502501.49</v>
      </c>
      <c r="S818" s="58"/>
      <c r="T818" s="58">
        <v>91652.02</v>
      </c>
      <c r="U818" s="58">
        <f>SUM(Q818:S818)</f>
        <v>856780.65999999992</v>
      </c>
      <c r="V818" s="14">
        <f t="shared" si="141"/>
        <v>0</v>
      </c>
      <c r="X818" s="85">
        <f t="shared" si="144"/>
        <v>0</v>
      </c>
      <c r="Y818" s="21">
        <f t="shared" si="142"/>
        <v>2.2980843407078788E-2</v>
      </c>
      <c r="AA818" s="55">
        <f t="shared" si="139"/>
        <v>345937.29000000004</v>
      </c>
      <c r="AB818" s="55">
        <f t="shared" si="140"/>
        <v>0.49000000022351742</v>
      </c>
      <c r="AC818" s="55">
        <f t="shared" ref="AC818:AC877" si="146">MAX(0,(C818-DATE(H818,1,1))/365)*0+MAX(0,MIN(1,(MIN(DATE(H818,12,31),D818)-MAX(DATE(H818,1,1),C818))/365))*(O818+X818+R818/2)</f>
        <v>15053289.553917808</v>
      </c>
    </row>
    <row r="819" spans="1:29">
      <c r="A819" s="1" t="s">
        <v>490</v>
      </c>
      <c r="B819" s="16" t="str">
        <f>INDEX(emprunts!C:C,MATCH($A819,emprunts!A:A,0))</f>
        <v>Dexia CL</v>
      </c>
      <c r="C819" s="18">
        <f>INDEX(emprunts!M:M,MATCH($A819,emprunts!$A:$A,0))</f>
        <v>41030</v>
      </c>
      <c r="D819" s="18">
        <f>IF(INDEX(emprunts!O:O,MATCH($A819,emprunts!$A:$A,0))="",INDEX(emprunts!N:N,MATCH($A819,emprunts!$A:$A,0)),MIN(INDEX(emprunts!N:N,MATCH($A819,emprunts!$A:$A,0)),INDEX(emprunts!O:O,MATCH($A819,emprunts!$A:$A,0))))</f>
        <v>41760</v>
      </c>
      <c r="E819" s="52">
        <f>INDEX(emprunts!I:I,MATCH($A819,emprunts!$A:$A,0))</f>
        <v>17</v>
      </c>
      <c r="F819" s="18" t="str">
        <f>INDEX(emprunts!P:P,MATCH($A819,emprunts!$A:$A,0))</f>
        <v>Change</v>
      </c>
      <c r="G819" s="126" t="str">
        <f>IF(LEFT(A819,3)="vx_","vx",INDEX(Categorie,MATCH($A819,emprunts!$A$2:$A$149,0)))</f>
        <v>Struct</v>
      </c>
      <c r="H819">
        <v>2013</v>
      </c>
      <c r="I819">
        <f t="shared" si="143"/>
        <v>1</v>
      </c>
      <c r="N819"/>
      <c r="O819" s="58">
        <v>13697596</v>
      </c>
      <c r="P819" s="4">
        <v>0.15579999999999999</v>
      </c>
      <c r="Q819" s="58">
        <v>568877.17000000004</v>
      </c>
      <c r="R819" s="58">
        <v>400000</v>
      </c>
      <c r="S819" s="58"/>
      <c r="T819" s="58">
        <v>538467.73</v>
      </c>
      <c r="U819" s="58">
        <f>SUM(Q819:S819)</f>
        <v>968877.17</v>
      </c>
      <c r="V819" s="14">
        <f t="shared" si="141"/>
        <v>0</v>
      </c>
      <c r="X819" s="85">
        <f t="shared" si="144"/>
        <v>0</v>
      </c>
      <c r="Y819" s="21" t="str">
        <f t="shared" si="142"/>
        <v/>
      </c>
      <c r="AA819" s="55">
        <f t="shared" si="139"/>
        <v>-326877.05000000005</v>
      </c>
      <c r="AB819" s="55">
        <f t="shared" si="140"/>
        <v>0</v>
      </c>
      <c r="AC819" s="55">
        <f t="shared" si="146"/>
        <v>13859520.394520547</v>
      </c>
    </row>
    <row r="820" spans="1:29">
      <c r="A820" s="1" t="s">
        <v>497</v>
      </c>
      <c r="B820" s="16" t="str">
        <f>INDEX(emprunts!C:C,MATCH($A820,emprunts!A:A,0))</f>
        <v>Dexia CL</v>
      </c>
      <c r="C820" s="18">
        <f>INDEX(emprunts!M:M,MATCH($A820,emprunts!$A:$A,0))</f>
        <v>41030</v>
      </c>
      <c r="D820" s="18">
        <f>IF(INDEX(emprunts!O:O,MATCH($A820,emprunts!$A:$A,0))="",INDEX(emprunts!N:N,MATCH($A820,emprunts!$A:$A,0)),MIN(INDEX(emprunts!N:N,MATCH($A820,emprunts!$A:$A,0)),INDEX(emprunts!O:O,MATCH($A820,emprunts!$A:$A,0))))</f>
        <v>41426</v>
      </c>
      <c r="E820" s="52">
        <f>INDEX(emprunts!I:I,MATCH($A820,emprunts!$A:$A,0))</f>
        <v>12</v>
      </c>
      <c r="F820" s="18" t="str">
        <f>INDEX(emprunts!P:P,MATCH($A820,emprunts!$A:$A,0))</f>
        <v>Change</v>
      </c>
      <c r="G820" s="126" t="str">
        <f>IF(LEFT(A820,3)="vx_","vx",INDEX(Categorie,MATCH($A820,emprunts!$A$2:$A$149,0)))</f>
        <v>Struct</v>
      </c>
      <c r="H820">
        <v>2013</v>
      </c>
      <c r="I820">
        <f t="shared" si="143"/>
        <v>1</v>
      </c>
      <c r="N820" s="14">
        <v>6725870.4800000004</v>
      </c>
      <c r="O820" s="58">
        <v>0</v>
      </c>
      <c r="Q820" s="14">
        <v>203967.23</v>
      </c>
      <c r="R820" s="14">
        <v>398699.87</v>
      </c>
      <c r="T820" s="14">
        <v>0</v>
      </c>
      <c r="U820" s="14">
        <f t="shared" ref="U820" si="147">SUM(Q820:S820)</f>
        <v>602667.1</v>
      </c>
      <c r="V820" s="14">
        <f t="shared" si="141"/>
        <v>0</v>
      </c>
      <c r="X820" s="85">
        <f t="shared" si="144"/>
        <v>5947000</v>
      </c>
      <c r="Y820" s="21" t="str">
        <f t="shared" si="142"/>
        <v/>
      </c>
      <c r="AA820" s="55">
        <f t="shared" si="139"/>
        <v>-240214.43999999997</v>
      </c>
      <c r="AB820" s="55">
        <f t="shared" si="140"/>
        <v>-456.12999999988824</v>
      </c>
      <c r="AC820" s="55">
        <f t="shared" si="146"/>
        <v>2542736.5484520546</v>
      </c>
    </row>
    <row r="821" spans="1:29">
      <c r="A821" t="s">
        <v>350</v>
      </c>
      <c r="B821" s="16" t="str">
        <f>INDEX(emprunts!C:C,MATCH($A821,emprunts!A:A,0))</f>
        <v>Dexia CL</v>
      </c>
      <c r="C821" s="18">
        <f>INDEX(emprunts!M:M,MATCH($A821,emprunts!$A:$A,0))</f>
        <v>41030</v>
      </c>
      <c r="D821" s="18">
        <f>IF(INDEX(emprunts!O:O,MATCH($A821,emprunts!$A:$A,0))="",INDEX(emprunts!N:N,MATCH($A821,emprunts!$A:$A,0)),MIN(INDEX(emprunts!N:N,MATCH($A821,emprunts!$A:$A,0)),INDEX(emprunts!O:O,MATCH($A821,emprunts!$A:$A,0))))</f>
        <v>41426</v>
      </c>
      <c r="E821" s="52">
        <f>INDEX(emprunts!I:I,MATCH($A821,emprunts!$A:$A,0))</f>
        <v>15</v>
      </c>
      <c r="F821" s="18" t="str">
        <f>INDEX(emprunts!P:P,MATCH($A821,emprunts!$A:$A,0))</f>
        <v>Variable</v>
      </c>
      <c r="G821" s="126" t="str">
        <f>IF(LEFT(A821,3)="vx_","vx",INDEX(Categorie,MATCH($A821,emprunts!$A$2:$A$149,0)))</f>
        <v>Non_st</v>
      </c>
      <c r="H821">
        <v>2013</v>
      </c>
      <c r="I821">
        <f t="shared" si="143"/>
        <v>1</v>
      </c>
      <c r="N821"/>
      <c r="O821" s="58"/>
      <c r="V821" s="14" t="str">
        <f t="shared" si="141"/>
        <v/>
      </c>
      <c r="X821" s="85">
        <f t="shared" si="144"/>
        <v>3815000</v>
      </c>
      <c r="Y821" s="21" t="str">
        <f t="shared" si="142"/>
        <v/>
      </c>
      <c r="AA821" s="55">
        <f t="shared" si="139"/>
        <v>-98294.67</v>
      </c>
      <c r="AB821" s="55">
        <f t="shared" si="140"/>
        <v>-185000</v>
      </c>
      <c r="AC821" s="55">
        <f t="shared" si="146"/>
        <v>1578260.2739726028</v>
      </c>
    </row>
    <row r="822" spans="1:29">
      <c r="A822" t="s">
        <v>352</v>
      </c>
      <c r="B822" s="16" t="str">
        <f>INDEX(emprunts!C:C,MATCH($A822,emprunts!A:A,0))</f>
        <v>Caisse d'Épargne</v>
      </c>
      <c r="C822" s="18">
        <f>INDEX(emprunts!M:M,MATCH($A822,emprunts!$A:$A,0))</f>
        <v>41167</v>
      </c>
      <c r="D822" s="18">
        <f>IF(INDEX(emprunts!O:O,MATCH($A822,emprunts!$A:$A,0))="",INDEX(emprunts!N:N,MATCH($A822,emprunts!$A:$A,0)),MIN(INDEX(emprunts!N:N,MATCH($A822,emprunts!$A:$A,0)),INDEX(emprunts!O:O,MATCH($A822,emprunts!$A:$A,0))))</f>
        <v>48785</v>
      </c>
      <c r="E822" s="52">
        <f>INDEX(emprunts!I:I,MATCH($A822,emprunts!$A:$A,0))</f>
        <v>20.8</v>
      </c>
      <c r="F822" s="18" t="str">
        <f>INDEX(emprunts!P:P,MATCH($A822,emprunts!$A:$A,0))</f>
        <v>Fixe</v>
      </c>
      <c r="G822" s="126" t="str">
        <f>IF(LEFT(A822,3)="vx_","vx",INDEX(Categorie,MATCH($A822,emprunts!$A$2:$A$149,0)))</f>
        <v>Non_st</v>
      </c>
      <c r="H822">
        <v>2013</v>
      </c>
      <c r="I822">
        <f t="shared" si="143"/>
        <v>1</v>
      </c>
      <c r="N822"/>
      <c r="O822" s="58">
        <v>19853070</v>
      </c>
      <c r="P822" s="4">
        <v>4.5100000000000001E-2</v>
      </c>
      <c r="Q822" s="58">
        <v>448543.2</v>
      </c>
      <c r="R822" s="58">
        <v>146930.48000000001</v>
      </c>
      <c r="T822" s="58">
        <v>164720.64000000001</v>
      </c>
      <c r="U822" s="58">
        <f t="shared" ref="U822:U828" si="148">SUM(Q822:S822)</f>
        <v>595473.68000000005</v>
      </c>
      <c r="V822" s="14">
        <f t="shared" si="141"/>
        <v>0</v>
      </c>
      <c r="X822" s="85">
        <f t="shared" si="144"/>
        <v>0</v>
      </c>
      <c r="Y822" s="21">
        <f t="shared" si="142"/>
        <v>2.2571684245216612E-2</v>
      </c>
      <c r="AA822" s="55">
        <f t="shared" si="139"/>
        <v>448543.20000000007</v>
      </c>
      <c r="AB822" s="55">
        <f t="shared" si="140"/>
        <v>146930.96000000089</v>
      </c>
      <c r="AC822" s="55">
        <f t="shared" si="146"/>
        <v>19871941.992767122</v>
      </c>
    </row>
    <row r="823" spans="1:29">
      <c r="A823" s="1" t="s">
        <v>493</v>
      </c>
      <c r="B823" s="16" t="str">
        <f>INDEX(emprunts!C:C,MATCH($A823,emprunts!A:A,0))</f>
        <v>Dexia CL</v>
      </c>
      <c r="C823" s="18">
        <f>INDEX(emprunts!M:M,MATCH($A823,emprunts!$A:$A,0))</f>
        <v>41244</v>
      </c>
      <c r="D823" s="18">
        <f>IF(INDEX(emprunts!O:O,MATCH($A823,emprunts!$A:$A,0))="",INDEX(emprunts!N:N,MATCH($A823,emprunts!$A:$A,0)),MIN(INDEX(emprunts!N:N,MATCH($A823,emprunts!$A:$A,0)),INDEX(emprunts!O:O,MATCH($A823,emprunts!$A:$A,0))))</f>
        <v>42675</v>
      </c>
      <c r="E823" s="52">
        <f>INDEX(emprunts!I:I,MATCH($A823,emprunts!$A:$A,0))</f>
        <v>17</v>
      </c>
      <c r="F823" s="18" t="str">
        <f>INDEX(emprunts!P:P,MATCH($A823,emprunts!$A:$A,0))</f>
        <v>Change</v>
      </c>
      <c r="G823" s="126" t="str">
        <f>IF(LEFT(A823,3)="vx_","vx",INDEX(Categorie,MATCH($A823,emprunts!$A$2:$A$149,0)))</f>
        <v>Struct</v>
      </c>
      <c r="H823">
        <v>2013</v>
      </c>
      <c r="I823">
        <f t="shared" si="143"/>
        <v>1</v>
      </c>
      <c r="N823"/>
      <c r="O823" s="58">
        <v>9228284</v>
      </c>
      <c r="P823" s="4">
        <v>0.1208</v>
      </c>
      <c r="Q823" s="58">
        <v>583013.76</v>
      </c>
      <c r="R823" s="58">
        <v>371503.54</v>
      </c>
      <c r="T823" s="58">
        <v>46064.52</v>
      </c>
      <c r="U823" s="58">
        <f t="shared" si="148"/>
        <v>954517.3</v>
      </c>
      <c r="V823" s="14">
        <f t="shared" si="141"/>
        <v>0</v>
      </c>
      <c r="X823" s="85">
        <f t="shared" si="144"/>
        <v>0</v>
      </c>
      <c r="Y823" s="21">
        <f t="shared" si="142"/>
        <v>5.7072476621904629E-2</v>
      </c>
      <c r="AA823" s="55">
        <f t="shared" si="139"/>
        <v>535810.33000000007</v>
      </c>
      <c r="AB823" s="55">
        <f t="shared" si="140"/>
        <v>0.53999999910593033</v>
      </c>
      <c r="AC823" s="55">
        <f t="shared" si="146"/>
        <v>9388243.8911780827</v>
      </c>
    </row>
    <row r="824" spans="1:29" ht="30">
      <c r="A824" s="1" t="s">
        <v>495</v>
      </c>
      <c r="B824" s="16" t="str">
        <f>INDEX(emprunts!C:C,MATCH($A824,emprunts!A:A,0))</f>
        <v>Dexia CL</v>
      </c>
      <c r="C824" s="18">
        <f>INDEX(emprunts!M:M,MATCH($A824,emprunts!$A:$A,0))</f>
        <v>41244</v>
      </c>
      <c r="D824" s="18">
        <f>IF(INDEX(emprunts!O:O,MATCH($A824,emprunts!$A:$A,0))="",INDEX(emprunts!N:N,MATCH($A824,emprunts!$A:$A,0)),MIN(INDEX(emprunts!N:N,MATCH($A824,emprunts!$A:$A,0)),INDEX(emprunts!O:O,MATCH($A824,emprunts!$A:$A,0))))</f>
        <v>48914</v>
      </c>
      <c r="E824" s="52">
        <f>INDEX(emprunts!I:I,MATCH($A824,emprunts!$A:$A,0))</f>
        <v>21</v>
      </c>
      <c r="F824" s="18" t="str">
        <f>INDEX(emprunts!P:P,MATCH($A824,emprunts!$A:$A,0))</f>
        <v>Fixe</v>
      </c>
      <c r="G824" s="126" t="str">
        <f>IF(LEFT(A824,3)="vx_","vx",INDEX(Categorie,MATCH($A824,emprunts!$A$2:$A$149,0)))</f>
        <v>Restr_sec</v>
      </c>
      <c r="H824">
        <v>2013</v>
      </c>
      <c r="I824">
        <f t="shared" si="143"/>
        <v>1</v>
      </c>
      <c r="N824"/>
      <c r="O824" s="58">
        <v>7628767</v>
      </c>
      <c r="P824" s="4">
        <v>5.21E-2</v>
      </c>
      <c r="Q824" s="58">
        <v>432892.34</v>
      </c>
      <c r="R824" s="58">
        <v>661762.86</v>
      </c>
      <c r="T824" s="58">
        <v>32740.13</v>
      </c>
      <c r="U824" s="58">
        <f t="shared" si="148"/>
        <v>1094655.2</v>
      </c>
      <c r="V824" s="14">
        <f t="shared" si="141"/>
        <v>0</v>
      </c>
      <c r="X824" s="85">
        <f t="shared" si="144"/>
        <v>0</v>
      </c>
      <c r="Y824" s="21">
        <f t="shared" si="142"/>
        <v>5.4535273572419544E-2</v>
      </c>
      <c r="AA824" s="55">
        <f t="shared" si="139"/>
        <v>432892.34</v>
      </c>
      <c r="AB824" s="55">
        <f t="shared" si="140"/>
        <v>-0.13999999966472387</v>
      </c>
      <c r="AC824" s="55">
        <f t="shared" si="146"/>
        <v>7937841.1740273973</v>
      </c>
    </row>
    <row r="825" spans="1:29">
      <c r="A825" t="s">
        <v>354</v>
      </c>
      <c r="B825" s="16" t="str">
        <f>INDEX(emprunts!C:C,MATCH($A825,emprunts!A:A,0))</f>
        <v>Caisse d'Épargne</v>
      </c>
      <c r="C825" s="18">
        <f>INDEX(emprunts!M:M,MATCH($A825,emprunts!$A:$A,0))</f>
        <v>41330</v>
      </c>
      <c r="D825" s="18">
        <f>IF(INDEX(emprunts!O:O,MATCH($A825,emprunts!$A:$A,0))="",INDEX(emprunts!N:N,MATCH($A825,emprunts!$A:$A,0)),MIN(INDEX(emprunts!N:N,MATCH($A825,emprunts!$A:$A,0)),INDEX(emprunts!O:O,MATCH($A825,emprunts!$A:$A,0))))</f>
        <v>41695</v>
      </c>
      <c r="E825" s="52">
        <f>INDEX(emprunts!I:I,MATCH($A825,emprunts!$A:$A,0))</f>
        <v>13</v>
      </c>
      <c r="F825" s="18" t="str">
        <f>INDEX(emprunts!P:P,MATCH($A825,emprunts!$A:$A,0))</f>
        <v>Courbes</v>
      </c>
      <c r="G825" s="126" t="str">
        <f>IF(LEFT(A825,3)="vx_","vx",INDEX(Categorie,MATCH($A825,emprunts!$A$2:$A$149,0)))</f>
        <v>Struct</v>
      </c>
      <c r="H825">
        <v>2013</v>
      </c>
      <c r="I825">
        <f t="shared" si="143"/>
        <v>1</v>
      </c>
      <c r="N825"/>
      <c r="O825" s="58">
        <v>10562132</v>
      </c>
      <c r="P825" s="4">
        <v>5.0700000000000002E-2</v>
      </c>
      <c r="Q825" s="58">
        <v>597666.67000000004</v>
      </c>
      <c r="R825" s="58">
        <v>786687.72</v>
      </c>
      <c r="T825" s="58">
        <v>453291.5</v>
      </c>
      <c r="U825" s="58">
        <f t="shared" si="148"/>
        <v>1384354.3900000001</v>
      </c>
      <c r="V825" s="14">
        <f t="shared" si="141"/>
        <v>0</v>
      </c>
      <c r="X825" s="85">
        <f t="shared" si="144"/>
        <v>0</v>
      </c>
      <c r="Y825" s="21">
        <f t="shared" si="142"/>
        <v>0.11331530432197595</v>
      </c>
      <c r="AA825" s="55">
        <f t="shared" si="139"/>
        <v>1050958.17</v>
      </c>
      <c r="AB825" s="55" t="str">
        <f t="shared" si="140"/>
        <v/>
      </c>
      <c r="AC825" s="55">
        <f t="shared" si="146"/>
        <v>9274635.7280547936</v>
      </c>
    </row>
    <row r="826" spans="1:29" ht="30">
      <c r="A826" s="1" t="s">
        <v>506</v>
      </c>
      <c r="B826" s="16" t="str">
        <f>INDEX(emprunts!C:C,MATCH($A826,emprunts!A:A,0))</f>
        <v>Caisse d'Épargne</v>
      </c>
      <c r="C826" s="18">
        <f>INDEX(emprunts!M:M,MATCH($A826,emprunts!$A:$A,0))</f>
        <v>41330</v>
      </c>
      <c r="D826" s="18">
        <f>IF(INDEX(emprunts!O:O,MATCH($A826,emprunts!$A:$A,0))="",INDEX(emprunts!N:N,MATCH($A826,emprunts!$A:$A,0)),MIN(INDEX(emprunts!N:N,MATCH($A826,emprunts!$A:$A,0)),INDEX(emprunts!O:O,MATCH($A826,emprunts!$A:$A,0))))</f>
        <v>48635</v>
      </c>
      <c r="E826" s="52">
        <f>INDEX(emprunts!I:I,MATCH($A826,emprunts!$A:$A,0))</f>
        <v>20</v>
      </c>
      <c r="F826" s="18" t="str">
        <f>INDEX(emprunts!P:P,MATCH($A826,emprunts!$A:$A,0))</f>
        <v>Fixe</v>
      </c>
      <c r="G826" s="126" t="str">
        <f>IF(LEFT(A826,3)="vx_","vx",INDEX(Categorie,MATCH($A826,emprunts!$A$2:$A$149,0)))</f>
        <v>Restr_sec</v>
      </c>
      <c r="H826">
        <v>2013</v>
      </c>
      <c r="I826">
        <f t="shared" si="143"/>
        <v>1</v>
      </c>
      <c r="N826"/>
      <c r="O826" s="58">
        <v>3961464</v>
      </c>
      <c r="P826" s="4">
        <v>4.4900000000000002E-2</v>
      </c>
      <c r="Q826" s="58">
        <v>135359.41</v>
      </c>
      <c r="R826" s="58">
        <v>90422.79</v>
      </c>
      <c r="T826" s="58">
        <v>17582.39</v>
      </c>
      <c r="U826" s="58">
        <f t="shared" si="148"/>
        <v>225782.2</v>
      </c>
      <c r="V826" s="14">
        <f t="shared" si="141"/>
        <v>0</v>
      </c>
      <c r="X826" s="85">
        <f t="shared" si="144"/>
        <v>0</v>
      </c>
      <c r="Y826" s="21">
        <f t="shared" si="142"/>
        <v>4.5089604212120181E-2</v>
      </c>
      <c r="AA826" s="55">
        <f t="shared" si="139"/>
        <v>152941.79999999999</v>
      </c>
      <c r="AB826" s="55" t="str">
        <f t="shared" si="140"/>
        <v/>
      </c>
      <c r="AC826" s="55">
        <f t="shared" si="146"/>
        <v>3391952.5946712326</v>
      </c>
    </row>
    <row r="827" spans="1:29" ht="30">
      <c r="A827" s="1" t="s">
        <v>498</v>
      </c>
      <c r="B827" s="16" t="str">
        <f>INDEX(emprunts!C:C,MATCH($A827,emprunts!A:A,0))</f>
        <v>Dexia CL</v>
      </c>
      <c r="C827" s="18">
        <f>INDEX(emprunts!M:M,MATCH($A827,emprunts!$A:$A,0))</f>
        <v>41426</v>
      </c>
      <c r="D827" s="18">
        <f>IF(INDEX(emprunts!O:O,MATCH($A827,emprunts!$A:$A,0))="",INDEX(emprunts!N:N,MATCH($A827,emprunts!$A:$A,0)),MIN(INDEX(emprunts!N:N,MATCH($A827,emprunts!$A:$A,0)),INDEX(emprunts!O:O,MATCH($A827,emprunts!$A:$A,0))))</f>
        <v>48731</v>
      </c>
      <c r="E827" s="52">
        <f>INDEX(emprunts!I:I,MATCH($A827,emprunts!$A:$A,0))</f>
        <v>20</v>
      </c>
      <c r="F827" s="18" t="str">
        <f>INDEX(emprunts!P:P,MATCH($A827,emprunts!$A:$A,0))</f>
        <v>Fixe</v>
      </c>
      <c r="G827" s="126" t="str">
        <f>IF(LEFT(A827,3)="vx_","vx",INDEX(Categorie,MATCH($A827,emprunts!$A$2:$A$149,0)))</f>
        <v>Restr_sec</v>
      </c>
      <c r="H827">
        <v>2013</v>
      </c>
      <c r="I827">
        <f t="shared" si="143"/>
        <v>1</v>
      </c>
      <c r="N827"/>
      <c r="O827" s="58">
        <v>16712087</v>
      </c>
      <c r="P827" s="4">
        <v>5.04E-2</v>
      </c>
      <c r="Q827" s="58">
        <v>0</v>
      </c>
      <c r="R827" s="58">
        <v>0</v>
      </c>
      <c r="T827" s="58">
        <v>492421.65</v>
      </c>
      <c r="U827" s="58">
        <f t="shared" si="148"/>
        <v>0</v>
      </c>
      <c r="V827" s="14">
        <f t="shared" si="141"/>
        <v>0</v>
      </c>
      <c r="X827" s="85">
        <f t="shared" si="144"/>
        <v>0</v>
      </c>
      <c r="Y827" s="21">
        <f t="shared" si="142"/>
        <v>5.0491667337774375E-2</v>
      </c>
      <c r="AA827" s="55">
        <f t="shared" ref="AA827:AA890" si="149">T827+Q827+S827-SUMPRODUCT(($A$123:$A$1367=$A827)*($H$123:$H$1367=$H827-1),$T$123:$T$1367)</f>
        <v>492421.65</v>
      </c>
      <c r="AB827" s="55" t="str">
        <f t="shared" ref="AB827:AB890" si="150">IF(YEAR(C827)=H827,"",O827+R827+X827-W827-SUMPRODUCT(($A$123:$A$1367=$A827)*($H$123:$H$1367=$H827-1),$O$123:$O$1367))</f>
        <v/>
      </c>
      <c r="AC827" s="55">
        <f t="shared" si="146"/>
        <v>9752532.9616438355</v>
      </c>
    </row>
    <row r="828" spans="1:29">
      <c r="A828" t="s">
        <v>357</v>
      </c>
      <c r="B828" s="16" t="str">
        <f>INDEX(emprunts!C:C,MATCH($A828,emprunts!A:A,0))</f>
        <v>Caisse d'Épargne</v>
      </c>
      <c r="C828" s="18">
        <f>INDEX(emprunts!M:M,MATCH($A828,emprunts!$A:$A,0))</f>
        <v>41639</v>
      </c>
      <c r="D828" s="18">
        <f>IF(INDEX(emprunts!O:O,MATCH($A828,emprunts!$A:$A,0))="",INDEX(emprunts!N:N,MATCH($A828,emprunts!$A:$A,0)),MIN(INDEX(emprunts!N:N,MATCH($A828,emprunts!$A:$A,0)),INDEX(emprunts!O:O,MATCH($A828,emprunts!$A:$A,0))))</f>
        <v>48944</v>
      </c>
      <c r="E828" s="52">
        <f>INDEX(emprunts!I:I,MATCH($A828,emprunts!$A:$A,0))</f>
        <v>20</v>
      </c>
      <c r="F828" s="18" t="str">
        <f>INDEX(emprunts!P:P,MATCH($A828,emprunts!$A:$A,0))</f>
        <v>Fixe</v>
      </c>
      <c r="G828" s="126" t="str">
        <f>IF(LEFT(A828,3)="vx_","vx",INDEX(Categorie,MATCH($A828,emprunts!$A$2:$A$149,0)))</f>
        <v>Non_st</v>
      </c>
      <c r="H828">
        <v>2013</v>
      </c>
      <c r="I828">
        <f t="shared" si="143"/>
        <v>0</v>
      </c>
      <c r="N828"/>
      <c r="O828" s="58">
        <v>10000000</v>
      </c>
      <c r="P828" s="4">
        <v>4.41E-2</v>
      </c>
      <c r="Q828" s="58">
        <v>44059.839999999997</v>
      </c>
      <c r="R828" s="58">
        <v>0</v>
      </c>
      <c r="T828" s="58">
        <v>0</v>
      </c>
      <c r="U828" s="58">
        <f t="shared" si="148"/>
        <v>44059.839999999997</v>
      </c>
      <c r="V828" s="14">
        <f t="shared" si="141"/>
        <v>0</v>
      </c>
      <c r="X828" s="85">
        <f t="shared" si="144"/>
        <v>0</v>
      </c>
      <c r="Y828" s="21" t="e">
        <f t="shared" si="142"/>
        <v>#DIV/0!</v>
      </c>
      <c r="AA828" s="55">
        <f t="shared" si="149"/>
        <v>44059.839999999997</v>
      </c>
      <c r="AB828" s="55" t="str">
        <f t="shared" si="150"/>
        <v/>
      </c>
      <c r="AC828" s="55">
        <f t="shared" si="146"/>
        <v>0</v>
      </c>
    </row>
    <row r="829" spans="1:29" ht="30">
      <c r="A829" t="s">
        <v>358</v>
      </c>
      <c r="B829" s="16" t="str">
        <f>INDEX(emprunts!C:C,MATCH($A829,emprunts!A:A,0))</f>
        <v>Société Générale</v>
      </c>
      <c r="C829" s="18">
        <f>INDEX(emprunts!M:M,MATCH($A829,emprunts!$A:$A,0))</f>
        <v>41640</v>
      </c>
      <c r="D829" s="18">
        <f>IF(INDEX(emprunts!O:O,MATCH($A829,emprunts!$A:$A,0))="",INDEX(emprunts!N:N,MATCH($A829,emprunts!$A:$A,0)),MIN(INDEX(emprunts!N:N,MATCH($A829,emprunts!$A:$A,0)),INDEX(emprunts!O:O,MATCH($A829,emprunts!$A:$A,0))))</f>
        <v>49310</v>
      </c>
      <c r="E829" s="52">
        <f>INDEX(emprunts!I:I,MATCH($A829,emprunts!$A:$A,0))</f>
        <v>21</v>
      </c>
      <c r="F829" s="18" t="str">
        <f>INDEX(emprunts!P:P,MATCH($A829,emprunts!$A:$A,0))</f>
        <v>Fixe</v>
      </c>
      <c r="G829" s="126" t="str">
        <f>IF(LEFT(A829,3)="vx_","vx",INDEX(Categorie,MATCH($A829,emprunts!$A$2:$A$149,0)))</f>
        <v>Restr_sec</v>
      </c>
      <c r="H829">
        <v>2013</v>
      </c>
      <c r="I829">
        <f t="shared" si="143"/>
        <v>0</v>
      </c>
      <c r="N829"/>
      <c r="O829" s="58"/>
      <c r="Q829" s="58"/>
      <c r="R829" s="58"/>
      <c r="T829" s="58"/>
      <c r="U829" s="58"/>
      <c r="V829" s="14" t="str">
        <f t="shared" si="141"/>
        <v/>
      </c>
      <c r="X829" s="85">
        <f t="shared" si="144"/>
        <v>0</v>
      </c>
      <c r="Y829" s="21" t="str">
        <f t="shared" si="142"/>
        <v/>
      </c>
      <c r="AA829" s="55">
        <f t="shared" si="149"/>
        <v>0</v>
      </c>
      <c r="AB829" s="55">
        <f t="shared" si="150"/>
        <v>0</v>
      </c>
      <c r="AC829" s="55">
        <f t="shared" si="146"/>
        <v>0</v>
      </c>
    </row>
    <row r="830" spans="1:29" ht="30">
      <c r="A830" t="s">
        <v>359</v>
      </c>
      <c r="B830" s="16" t="str">
        <f>INDEX(emprunts!C:C,MATCH($A830,emprunts!A:A,0))</f>
        <v>Dexia CL</v>
      </c>
      <c r="C830" s="18">
        <f>INDEX(emprunts!M:M,MATCH($A830,emprunts!$A:$A,0))</f>
        <v>41654</v>
      </c>
      <c r="D830" s="18">
        <f>IF(INDEX(emprunts!O:O,MATCH($A830,emprunts!$A:$A,0))="",INDEX(emprunts!N:N,MATCH($A830,emprunts!$A:$A,0)),MIN(INDEX(emprunts!N:N,MATCH($A830,emprunts!$A:$A,0)),INDEX(emprunts!O:O,MATCH($A830,emprunts!$A:$A,0))))</f>
        <v>48884</v>
      </c>
      <c r="E830" s="52">
        <f>INDEX(emprunts!I:I,MATCH($A830,emprunts!$A:$A,0))</f>
        <v>19.829999999999998</v>
      </c>
      <c r="F830" s="18" t="str">
        <f>INDEX(emprunts!P:P,MATCH($A830,emprunts!$A:$A,0))</f>
        <v>Fixe</v>
      </c>
      <c r="G830" s="126" t="str">
        <f>IF(LEFT(A830,3)="vx_","vx",INDEX(Categorie,MATCH($A830,emprunts!$A$2:$A$149,0)))</f>
        <v>Restr_sec</v>
      </c>
      <c r="H830">
        <v>2013</v>
      </c>
      <c r="I830">
        <f t="shared" si="143"/>
        <v>0</v>
      </c>
      <c r="N830"/>
      <c r="O830" s="58"/>
      <c r="Q830" s="58"/>
      <c r="R830" s="58"/>
      <c r="T830" s="58"/>
      <c r="U830" s="58"/>
      <c r="V830" s="14" t="str">
        <f t="shared" si="141"/>
        <v/>
      </c>
      <c r="X830" s="85">
        <f t="shared" si="144"/>
        <v>0</v>
      </c>
      <c r="Y830" s="21" t="str">
        <f t="shared" si="142"/>
        <v/>
      </c>
      <c r="AA830" s="55">
        <f t="shared" si="149"/>
        <v>0</v>
      </c>
      <c r="AB830" s="55">
        <f t="shared" si="150"/>
        <v>0</v>
      </c>
      <c r="AC830" s="55">
        <f t="shared" si="146"/>
        <v>0</v>
      </c>
    </row>
    <row r="831" spans="1:29">
      <c r="A831" t="s">
        <v>360</v>
      </c>
      <c r="B831" s="16" t="str">
        <f>INDEX(emprunts!C:C,MATCH($A831,emprunts!A:A,0))</f>
        <v>Caisse d'Épargne</v>
      </c>
      <c r="C831" s="18">
        <f>INDEX(emprunts!M:M,MATCH($A831,emprunts!$A:$A,0))</f>
        <v>41695</v>
      </c>
      <c r="D831" s="18">
        <f>IF(INDEX(emprunts!O:O,MATCH($A831,emprunts!$A:$A,0))="",INDEX(emprunts!N:N,MATCH($A831,emprunts!$A:$A,0)),MIN(INDEX(emprunts!N:N,MATCH($A831,emprunts!$A:$A,0)),INDEX(emprunts!O:O,MATCH($A831,emprunts!$A:$A,0))))</f>
        <v>43156</v>
      </c>
      <c r="E831" s="52">
        <f>INDEX(emprunts!I:I,MATCH($A831,emprunts!$A:$A,0))</f>
        <v>5</v>
      </c>
      <c r="F831" s="18" t="str">
        <f>INDEX(emprunts!P:P,MATCH($A831,emprunts!$A:$A,0))</f>
        <v>Courbes</v>
      </c>
      <c r="G831" s="126" t="str">
        <f>IF(LEFT(A831,3)="vx_","vx",INDEX(Categorie,MATCH($A831,emprunts!$A$2:$A$149,0)))</f>
        <v>Struct</v>
      </c>
      <c r="H831">
        <v>2013</v>
      </c>
      <c r="I831">
        <f t="shared" si="143"/>
        <v>0</v>
      </c>
      <c r="N831"/>
      <c r="O831" s="58"/>
      <c r="Q831" s="58"/>
      <c r="R831" s="58"/>
      <c r="T831" s="58"/>
      <c r="U831" s="58"/>
      <c r="V831" s="14" t="str">
        <f t="shared" si="141"/>
        <v/>
      </c>
      <c r="X831" s="85">
        <f t="shared" si="144"/>
        <v>0</v>
      </c>
      <c r="Y831" s="21" t="str">
        <f t="shared" si="142"/>
        <v/>
      </c>
      <c r="AA831" s="55">
        <f t="shared" si="149"/>
        <v>0</v>
      </c>
      <c r="AB831" s="55">
        <f t="shared" si="150"/>
        <v>0</v>
      </c>
      <c r="AC831" s="55">
        <f t="shared" si="146"/>
        <v>0</v>
      </c>
    </row>
    <row r="832" spans="1:29" ht="30">
      <c r="A832" t="s">
        <v>361</v>
      </c>
      <c r="B832" s="16" t="str">
        <f>INDEX(emprunts!C:C,MATCH($A832,emprunts!A:A,0))</f>
        <v>Caisse d'Épargne</v>
      </c>
      <c r="C832" s="18">
        <f>INDEX(emprunts!M:M,MATCH($A832,emprunts!$A:$A,0))</f>
        <v>41695</v>
      </c>
      <c r="D832" s="18">
        <f>IF(INDEX(emprunts!O:O,MATCH($A832,emprunts!$A:$A,0))="",INDEX(emprunts!N:N,MATCH($A832,emprunts!$A:$A,0)),MIN(INDEX(emprunts!N:N,MATCH($A832,emprunts!$A:$A,0)),INDEX(emprunts!O:O,MATCH($A832,emprunts!$A:$A,0))))</f>
        <v>46078</v>
      </c>
      <c r="E832" s="52">
        <f>INDEX(emprunts!I:I,MATCH($A832,emprunts!$A:$A,0))</f>
        <v>12</v>
      </c>
      <c r="F832" s="18" t="str">
        <f>INDEX(emprunts!P:P,MATCH($A832,emprunts!$A:$A,0))</f>
        <v>Fixe</v>
      </c>
      <c r="G832" s="126" t="str">
        <f>IF(LEFT(A832,3)="vx_","vx",INDEX(Categorie,MATCH($A832,emprunts!$A$2:$A$149,0)))</f>
        <v>Restr_sec</v>
      </c>
      <c r="H832">
        <v>2013</v>
      </c>
      <c r="I832">
        <f t="shared" si="143"/>
        <v>0</v>
      </c>
      <c r="N832"/>
      <c r="O832" s="58"/>
      <c r="Q832" s="58"/>
      <c r="R832" s="58"/>
      <c r="T832" s="58"/>
      <c r="U832" s="58"/>
      <c r="V832" s="14" t="str">
        <f t="shared" si="141"/>
        <v/>
      </c>
      <c r="X832" s="85">
        <f t="shared" si="144"/>
        <v>0</v>
      </c>
      <c r="Y832" s="21" t="str">
        <f t="shared" si="142"/>
        <v/>
      </c>
      <c r="AA832" s="55">
        <f t="shared" si="149"/>
        <v>0</v>
      </c>
      <c r="AB832" s="55">
        <f t="shared" si="150"/>
        <v>0</v>
      </c>
      <c r="AC832" s="55">
        <f t="shared" si="146"/>
        <v>0</v>
      </c>
    </row>
    <row r="833" spans="1:29" ht="30">
      <c r="A833" t="s">
        <v>362</v>
      </c>
      <c r="B833" s="16" t="str">
        <f>INDEX(emprunts!C:C,MATCH($A833,emprunts!A:A,0))</f>
        <v>Société Générale</v>
      </c>
      <c r="C833" s="18">
        <f>INDEX(emprunts!M:M,MATCH($A833,emprunts!$A:$A,0))</f>
        <v>41730</v>
      </c>
      <c r="D833" s="18">
        <f>IF(INDEX(emprunts!O:O,MATCH($A833,emprunts!$A:$A,0))="",INDEX(emprunts!N:N,MATCH($A833,emprunts!$A:$A,0)),MIN(INDEX(emprunts!N:N,MATCH($A833,emprunts!$A:$A,0)),INDEX(emprunts!O:O,MATCH($A833,emprunts!$A:$A,0))))</f>
        <v>49400</v>
      </c>
      <c r="E833" s="52">
        <f>INDEX(emprunts!I:I,MATCH($A833,emprunts!$A:$A,0))</f>
        <v>21</v>
      </c>
      <c r="F833" s="18" t="str">
        <f>INDEX(emprunts!P:P,MATCH($A833,emprunts!$A:$A,0))</f>
        <v>Fixe</v>
      </c>
      <c r="G833" s="126" t="str">
        <f>IF(LEFT(A833,3)="vx_","vx",INDEX(Categorie,MATCH($A833,emprunts!$A$2:$A$149,0)))</f>
        <v>Restr_sec</v>
      </c>
      <c r="H833">
        <v>2013</v>
      </c>
      <c r="I833">
        <f t="shared" si="143"/>
        <v>0</v>
      </c>
      <c r="N833"/>
      <c r="O833" s="58"/>
      <c r="Q833" s="58"/>
      <c r="R833" s="58"/>
      <c r="T833" s="58"/>
      <c r="U833" s="58"/>
      <c r="V833" s="14" t="str">
        <f t="shared" si="141"/>
        <v/>
      </c>
      <c r="X833" s="85">
        <f t="shared" si="144"/>
        <v>0</v>
      </c>
      <c r="Y833" s="21" t="str">
        <f t="shared" si="142"/>
        <v/>
      </c>
      <c r="AA833" s="55">
        <f t="shared" si="149"/>
        <v>0</v>
      </c>
      <c r="AB833" s="55">
        <f t="shared" si="150"/>
        <v>0</v>
      </c>
      <c r="AC833" s="55">
        <f t="shared" si="146"/>
        <v>0</v>
      </c>
    </row>
    <row r="834" spans="1:29">
      <c r="A834" t="s">
        <v>363</v>
      </c>
      <c r="B834" s="16" t="str">
        <f>INDEX(emprunts!C:C,MATCH($A834,emprunts!A:A,0))</f>
        <v>Dexia CL</v>
      </c>
      <c r="C834" s="18">
        <f>INDEX(emprunts!M:M,MATCH($A834,emprunts!$A:$A,0))</f>
        <v>41760</v>
      </c>
      <c r="D834" s="18">
        <f>IF(INDEX(emprunts!O:O,MATCH($A834,emprunts!$A:$A,0))="",INDEX(emprunts!N:N,MATCH($A834,emprunts!$A:$A,0)),MIN(INDEX(emprunts!N:N,MATCH($A834,emprunts!$A:$A,0)),INDEX(emprunts!O:O,MATCH($A834,emprunts!$A:$A,0))))</f>
        <v>47239</v>
      </c>
      <c r="E834" s="52">
        <f>INDEX(emprunts!I:I,MATCH($A834,emprunts!$A:$A,0))</f>
        <v>15</v>
      </c>
      <c r="F834" s="18" t="str">
        <f>INDEX(emprunts!P:P,MATCH($A834,emprunts!$A:$A,0))</f>
        <v>Fixe</v>
      </c>
      <c r="G834" s="126" t="str">
        <f>IF(LEFT(A834,3)="vx_","vx",INDEX(Categorie,MATCH($A834,emprunts!$A$2:$A$149,0)))</f>
        <v>Non_st</v>
      </c>
      <c r="H834">
        <v>2013</v>
      </c>
      <c r="I834">
        <f t="shared" si="143"/>
        <v>0</v>
      </c>
      <c r="N834"/>
      <c r="O834" s="58">
        <v>6000000</v>
      </c>
      <c r="P834" s="4">
        <v>4.6699999999999998E-2</v>
      </c>
      <c r="Q834" s="58">
        <v>69165.759999999995</v>
      </c>
      <c r="R834" s="58">
        <v>0</v>
      </c>
      <c r="T834" s="58">
        <v>0</v>
      </c>
      <c r="U834" s="58">
        <f>SUM(Q834:S834)</f>
        <v>69165.759999999995</v>
      </c>
      <c r="V834" s="14">
        <f t="shared" si="141"/>
        <v>0</v>
      </c>
      <c r="X834" s="85">
        <f t="shared" si="144"/>
        <v>0</v>
      </c>
      <c r="Y834" s="21" t="str">
        <f t="shared" si="142"/>
        <v/>
      </c>
      <c r="AA834" s="55">
        <f t="shared" si="149"/>
        <v>69165.759999999995</v>
      </c>
      <c r="AB834" s="55">
        <f t="shared" si="150"/>
        <v>6000000</v>
      </c>
      <c r="AC834" s="55">
        <f t="shared" si="146"/>
        <v>0</v>
      </c>
    </row>
    <row r="835" spans="1:29" ht="30">
      <c r="A835" t="s">
        <v>364</v>
      </c>
      <c r="B835" s="16" t="str">
        <f>INDEX(emprunts!C:C,MATCH($A835,emprunts!A:A,0))</f>
        <v>Dexia CL</v>
      </c>
      <c r="C835" s="18">
        <f>INDEX(emprunts!M:M,MATCH($A835,emprunts!$A:$A,0))</f>
        <v>41760</v>
      </c>
      <c r="D835" s="18">
        <f>IF(INDEX(emprunts!O:O,MATCH($A835,emprunts!$A:$A,0))="",INDEX(emprunts!N:N,MATCH($A835,emprunts!$A:$A,0)),MIN(INDEX(emprunts!N:N,MATCH($A835,emprunts!$A:$A,0)),INDEX(emprunts!O:O,MATCH($A835,emprunts!$A:$A,0))))</f>
        <v>49796</v>
      </c>
      <c r="E835" s="52">
        <f>INDEX(emprunts!I:I,MATCH($A835,emprunts!$A:$A,0))</f>
        <v>22</v>
      </c>
      <c r="F835" s="18" t="str">
        <f>INDEX(emprunts!P:P,MATCH($A835,emprunts!$A:$A,0))</f>
        <v>Fixe</v>
      </c>
      <c r="G835" s="126" t="str">
        <f>IF(LEFT(A835,3)="vx_","vx",INDEX(Categorie,MATCH($A835,emprunts!$A$2:$A$149,0)))</f>
        <v>Restr_aidé</v>
      </c>
      <c r="H835">
        <v>2013</v>
      </c>
      <c r="I835">
        <f t="shared" si="143"/>
        <v>0</v>
      </c>
      <c r="N835"/>
      <c r="O835" s="58"/>
      <c r="Q835" s="58"/>
      <c r="R835" s="58"/>
      <c r="T835" s="58"/>
      <c r="U835" s="58"/>
      <c r="V835" s="14" t="str">
        <f t="shared" si="141"/>
        <v/>
      </c>
      <c r="X835" s="85">
        <f t="shared" si="144"/>
        <v>0</v>
      </c>
      <c r="Y835" s="21" t="str">
        <f t="shared" si="142"/>
        <v/>
      </c>
      <c r="AA835" s="55">
        <f t="shared" si="149"/>
        <v>0</v>
      </c>
      <c r="AB835" s="55">
        <f t="shared" si="150"/>
        <v>0</v>
      </c>
      <c r="AC835" s="55">
        <f t="shared" si="146"/>
        <v>0</v>
      </c>
    </row>
    <row r="836" spans="1:29">
      <c r="A836" t="s">
        <v>365</v>
      </c>
      <c r="B836" s="16" t="str">
        <f>INDEX(emprunts!C:C,MATCH($A836,emprunts!A:A,0))</f>
        <v>Société Générale</v>
      </c>
      <c r="C836" s="18">
        <f>INDEX(emprunts!M:M,MATCH($A836,emprunts!$A:$A,0))</f>
        <v>41820</v>
      </c>
      <c r="D836" s="18">
        <f>IF(INDEX(emprunts!O:O,MATCH($A836,emprunts!$A:$A,0))="",INDEX(emprunts!N:N,MATCH($A836,emprunts!$A:$A,0)),MIN(INDEX(emprunts!N:N,MATCH($A836,emprunts!$A:$A,0)),INDEX(emprunts!O:O,MATCH($A836,emprunts!$A:$A,0))))</f>
        <v>49460</v>
      </c>
      <c r="E836" s="52">
        <f>INDEX(emprunts!I:I,MATCH($A836,emprunts!$A:$A,0))</f>
        <v>20</v>
      </c>
      <c r="F836" s="18" t="str">
        <f>INDEX(emprunts!P:P,MATCH($A836,emprunts!$A:$A,0))</f>
        <v>Variable</v>
      </c>
      <c r="G836" s="126" t="str">
        <f>IF(LEFT(A836,3)="vx_","vx",INDEX(Categorie,MATCH($A836,emprunts!$A$2:$A$149,0)))</f>
        <v>Non_st</v>
      </c>
      <c r="H836">
        <v>2013</v>
      </c>
      <c r="I836">
        <f t="shared" si="143"/>
        <v>0</v>
      </c>
      <c r="N836"/>
      <c r="O836" s="58"/>
      <c r="Q836" s="58"/>
      <c r="R836" s="58"/>
      <c r="T836" s="58"/>
      <c r="U836" s="58"/>
      <c r="V836" s="14" t="str">
        <f t="shared" si="141"/>
        <v/>
      </c>
      <c r="X836" s="85">
        <f t="shared" si="144"/>
        <v>0</v>
      </c>
      <c r="Y836" s="21" t="str">
        <f t="shared" si="142"/>
        <v/>
      </c>
      <c r="AA836" s="55">
        <f t="shared" si="149"/>
        <v>0</v>
      </c>
      <c r="AB836" s="55">
        <f t="shared" si="150"/>
        <v>0</v>
      </c>
      <c r="AC836" s="55">
        <f t="shared" si="146"/>
        <v>0</v>
      </c>
    </row>
    <row r="837" spans="1:29">
      <c r="A837" t="s">
        <v>366</v>
      </c>
      <c r="B837" s="16" t="str">
        <f>INDEX(emprunts!C:C,MATCH($A837,emprunts!A:A,0))</f>
        <v>Caisse d'Épargne</v>
      </c>
      <c r="C837" s="18">
        <f>INDEX(emprunts!M:M,MATCH($A837,emprunts!$A:$A,0))</f>
        <v>41912</v>
      </c>
      <c r="D837" s="18">
        <f>IF(INDEX(emprunts!O:O,MATCH($A837,emprunts!$A:$A,0))="",INDEX(emprunts!N:N,MATCH($A837,emprunts!$A:$A,0)),MIN(INDEX(emprunts!N:N,MATCH($A837,emprunts!$A:$A,0)),INDEX(emprunts!O:O,MATCH($A837,emprunts!$A:$A,0))))</f>
        <v>49217</v>
      </c>
      <c r="E837" s="52">
        <f>INDEX(emprunts!I:I,MATCH($A837,emprunts!$A:$A,0))</f>
        <v>20</v>
      </c>
      <c r="F837" s="18" t="str">
        <f>INDEX(emprunts!P:P,MATCH($A837,emprunts!$A:$A,0))</f>
        <v>Fixe</v>
      </c>
      <c r="G837" s="126" t="str">
        <f>IF(LEFT(A837,3)="vx_","vx",INDEX(Categorie,MATCH($A837,emprunts!$A$2:$A$149,0)))</f>
        <v>Non_st</v>
      </c>
      <c r="H837">
        <v>2013</v>
      </c>
      <c r="I837">
        <f t="shared" si="143"/>
        <v>0</v>
      </c>
      <c r="N837"/>
      <c r="O837" s="58">
        <v>10000000</v>
      </c>
      <c r="P837" s="4">
        <v>2.35E-2</v>
      </c>
      <c r="Q837" s="58">
        <v>29794.04</v>
      </c>
      <c r="R837" s="58">
        <v>0</v>
      </c>
      <c r="T837" s="58">
        <v>0</v>
      </c>
      <c r="U837" s="58">
        <f>SUM(Q837:S837)</f>
        <v>29794.04</v>
      </c>
      <c r="V837" s="14">
        <f t="shared" si="141"/>
        <v>0</v>
      </c>
      <c r="X837" s="85">
        <f t="shared" si="144"/>
        <v>0</v>
      </c>
      <c r="Y837" s="21" t="str">
        <f t="shared" si="142"/>
        <v/>
      </c>
      <c r="AA837" s="55">
        <f t="shared" si="149"/>
        <v>29794.04</v>
      </c>
      <c r="AB837" s="55">
        <f t="shared" si="150"/>
        <v>10000000</v>
      </c>
      <c r="AC837" s="55">
        <f t="shared" si="146"/>
        <v>0</v>
      </c>
    </row>
    <row r="838" spans="1:29">
      <c r="A838" t="s">
        <v>367</v>
      </c>
      <c r="B838" s="16" t="str">
        <f>INDEX(emprunts!C:C,MATCH($A838,emprunts!A:A,0))</f>
        <v>Caisse d'Épargne</v>
      </c>
      <c r="C838" s="18">
        <f>INDEX(emprunts!M:M,MATCH($A838,emprunts!$A:$A,0))</f>
        <v>42004</v>
      </c>
      <c r="D838" s="18">
        <f>IF(INDEX(emprunts!O:O,MATCH($A838,emprunts!$A:$A,0))="",INDEX(emprunts!N:N,MATCH($A838,emprunts!$A:$A,0)),MIN(INDEX(emprunts!N:N,MATCH($A838,emprunts!$A:$A,0)),INDEX(emprunts!O:O,MATCH($A838,emprunts!$A:$A,0))))</f>
        <v>49309</v>
      </c>
      <c r="E838" s="52">
        <f>INDEX(emprunts!I:I,MATCH($A838,emprunts!$A:$A,0))</f>
        <v>20</v>
      </c>
      <c r="F838" s="18" t="str">
        <f>INDEX(emprunts!P:P,MATCH($A838,emprunts!$A:$A,0))</f>
        <v>Fixe</v>
      </c>
      <c r="G838" s="126" t="str">
        <f>IF(LEFT(A838,3)="vx_","vx",INDEX(Categorie,MATCH($A838,emprunts!$A$2:$A$149,0)))</f>
        <v>Non_st</v>
      </c>
      <c r="H838">
        <v>2013</v>
      </c>
      <c r="I838">
        <f t="shared" si="143"/>
        <v>0</v>
      </c>
      <c r="N838"/>
      <c r="O838" s="58"/>
      <c r="V838" s="14" t="str">
        <f t="shared" si="141"/>
        <v/>
      </c>
      <c r="X838" s="85">
        <f t="shared" si="144"/>
        <v>0</v>
      </c>
      <c r="Y838" s="21" t="str">
        <f t="shared" si="142"/>
        <v/>
      </c>
      <c r="AA838" s="55">
        <f t="shared" si="149"/>
        <v>0</v>
      </c>
      <c r="AB838" s="55">
        <f t="shared" si="150"/>
        <v>0</v>
      </c>
      <c r="AC838" s="55">
        <f t="shared" si="146"/>
        <v>0</v>
      </c>
    </row>
    <row r="839" spans="1:29">
      <c r="A839" s="1" t="s">
        <v>540</v>
      </c>
      <c r="B839" s="16" t="str">
        <f>INDEX(emprunts!C:C,MATCH($A839,emprunts!A:A,0))</f>
        <v>Crédit Mutuel</v>
      </c>
      <c r="C839" s="18">
        <f>INDEX(emprunts!M:M,MATCH($A839,emprunts!$A:$A,0))</f>
        <v>36495</v>
      </c>
      <c r="D839" s="18">
        <f>IF(INDEX(emprunts!O:O,MATCH($A839,emprunts!$A:$A,0))="",INDEX(emprunts!N:N,MATCH($A839,emprunts!$A:$A,0)),MIN(INDEX(emprunts!N:N,MATCH($A839,emprunts!$A:$A,0)),INDEX(emprunts!O:O,MATCH($A839,emprunts!$A:$A,0))))</f>
        <v>41973</v>
      </c>
      <c r="E839" s="52">
        <f>INDEX(emprunts!I:I,MATCH($A839,emprunts!$A:$A,0))</f>
        <v>15</v>
      </c>
      <c r="F839" s="18" t="str">
        <f>INDEX(emprunts!P:P,MATCH($A839,emprunts!$A:$A,0))</f>
        <v>Fixe à phase</v>
      </c>
      <c r="G839" s="126" t="str">
        <f>IF(LEFT(A839,3)="vx_","vx",INDEX(Categorie,MATCH($A839,emprunts!$A$2:$A$149,0)))</f>
        <v>Non_st</v>
      </c>
      <c r="H839">
        <v>2014</v>
      </c>
      <c r="I839">
        <f t="shared" si="143"/>
        <v>1</v>
      </c>
      <c r="L839" s="5"/>
      <c r="M839" s="5"/>
      <c r="N839"/>
      <c r="O839" s="58">
        <v>0</v>
      </c>
      <c r="P839" s="4">
        <v>2.87E-2</v>
      </c>
      <c r="Q839" s="58">
        <v>4289.68</v>
      </c>
      <c r="R839" s="58">
        <v>149726.96</v>
      </c>
      <c r="S839" s="58"/>
      <c r="T839" s="58"/>
      <c r="U839" s="58">
        <f>SUM(Q839:S839)</f>
        <v>154016.63999999998</v>
      </c>
      <c r="V839" s="14">
        <f t="shared" si="141"/>
        <v>0</v>
      </c>
      <c r="W839" s="77"/>
      <c r="X839" s="85">
        <f t="shared" si="144"/>
        <v>0</v>
      </c>
      <c r="Y839" s="21">
        <f t="shared" si="142"/>
        <v>5.7472092010828389E-2</v>
      </c>
      <c r="AA839" s="55">
        <f t="shared" si="149"/>
        <v>3925.3500000000004</v>
      </c>
      <c r="AB839" s="55">
        <f t="shared" si="150"/>
        <v>-4.0000000008149073E-2</v>
      </c>
      <c r="AC839" s="55">
        <f t="shared" si="146"/>
        <v>68300.106410958906</v>
      </c>
    </row>
    <row r="840" spans="1:29">
      <c r="A840" t="s">
        <v>10</v>
      </c>
      <c r="B840" s="16" t="str">
        <f>INDEX(emprunts!C:C,MATCH($A840,emprunts!A:A,0))</f>
        <v>Crédit Mutuel</v>
      </c>
      <c r="C840" s="18">
        <f>INDEX(emprunts!M:M,MATCH($A840,emprunts!$A:$A,0))</f>
        <v>36950</v>
      </c>
      <c r="D840" s="18">
        <f>IF(INDEX(emprunts!O:O,MATCH($A840,emprunts!$A:$A,0))="",INDEX(emprunts!N:N,MATCH($A840,emprunts!$A:$A,0)),MIN(INDEX(emprunts!N:N,MATCH($A840,emprunts!$A:$A,0)),INDEX(emprunts!O:O,MATCH($A840,emprunts!$A:$A,0))))</f>
        <v>42429</v>
      </c>
      <c r="E840" s="52">
        <f>INDEX(emprunts!I:I,MATCH($A840,emprunts!$A:$A,0))</f>
        <v>15</v>
      </c>
      <c r="F840" s="18" t="str">
        <f>INDEX(emprunts!P:P,MATCH($A840,emprunts!$A:$A,0))</f>
        <v>Fixe</v>
      </c>
      <c r="G840" s="126" t="str">
        <f>IF(LEFT(A840,3)="vx_","vx",INDEX(Categorie,MATCH($A840,emprunts!$A$2:$A$149,0)))</f>
        <v>Non_st</v>
      </c>
      <c r="H840">
        <v>2014</v>
      </c>
      <c r="I840">
        <f t="shared" si="143"/>
        <v>1</v>
      </c>
      <c r="L840" s="5">
        <v>37315</v>
      </c>
      <c r="M840" s="5">
        <v>38045</v>
      </c>
      <c r="N840"/>
      <c r="O840" s="58">
        <v>93815</v>
      </c>
      <c r="P840" s="4">
        <v>1.6999999999999999E-3</v>
      </c>
      <c r="Q840" s="58">
        <v>9189.11</v>
      </c>
      <c r="R840" s="58">
        <v>46967.39</v>
      </c>
      <c r="S840" s="58"/>
      <c r="T840" s="58">
        <v>2204.5700000000002</v>
      </c>
      <c r="U840" s="58">
        <f>SUM(Q840:S840)</f>
        <v>56156.5</v>
      </c>
      <c r="V840" s="14">
        <f t="shared" si="141"/>
        <v>0</v>
      </c>
      <c r="W840" s="77"/>
      <c r="X840" s="85">
        <f t="shared" si="144"/>
        <v>0</v>
      </c>
      <c r="Y840" s="21">
        <f t="shared" si="142"/>
        <v>6.9131600875304414E-2</v>
      </c>
      <c r="AA840" s="55">
        <f t="shared" si="149"/>
        <v>8086.83</v>
      </c>
      <c r="AB840" s="55">
        <f t="shared" si="150"/>
        <v>60.39000000001397</v>
      </c>
      <c r="AC840" s="55">
        <f t="shared" si="146"/>
        <v>116977.32871232877</v>
      </c>
    </row>
    <row r="841" spans="1:29">
      <c r="A841" t="s">
        <v>14</v>
      </c>
      <c r="B841" s="16" t="str">
        <f>INDEX(emprunts!C:C,MATCH($A841,emprunts!A:A,0))</f>
        <v>CDC</v>
      </c>
      <c r="C841" s="18">
        <f>INDEX(emprunts!M:M,MATCH($A841,emprunts!$A:$A,0))</f>
        <v>37006</v>
      </c>
      <c r="D841" s="18">
        <f>IF(INDEX(emprunts!O:O,MATCH($A841,emprunts!$A:$A,0))="",INDEX(emprunts!N:N,MATCH($A841,emprunts!$A:$A,0)),MIN(INDEX(emprunts!N:N,MATCH($A841,emprunts!$A:$A,0)),INDEX(emprunts!O:O,MATCH($A841,emprunts!$A:$A,0))))</f>
        <v>38102</v>
      </c>
      <c r="E841" s="52">
        <f>INDEX(emprunts!I:I,MATCH($A841,emprunts!$A:$A,0))</f>
        <v>3</v>
      </c>
      <c r="F841" s="18" t="str">
        <f>INDEX(emprunts!P:P,MATCH($A841,emprunts!$A:$A,0))</f>
        <v>Fixe</v>
      </c>
      <c r="G841" s="126" t="str">
        <f>IF(LEFT(A841,3)="vx_","vx",INDEX(Categorie,MATCH($A841,emprunts!$A$2:$A$149,0)))</f>
        <v>Non_st</v>
      </c>
      <c r="H841">
        <v>2014</v>
      </c>
      <c r="I841">
        <f t="shared" si="143"/>
        <v>1</v>
      </c>
      <c r="N841"/>
      <c r="O841" s="58"/>
      <c r="Q841" s="58"/>
      <c r="R841" s="58"/>
      <c r="S841" s="58"/>
      <c r="T841" s="58"/>
      <c r="U841" s="58"/>
      <c r="V841" s="14" t="str">
        <f t="shared" ref="V841:V898" si="151">IF(U841="","",U841-SUM(Q841:S841))</f>
        <v/>
      </c>
      <c r="W841" s="77"/>
      <c r="X841" s="85">
        <f t="shared" si="144"/>
        <v>0</v>
      </c>
      <c r="Y841" s="21" t="str">
        <f t="shared" si="142"/>
        <v/>
      </c>
      <c r="AA841" s="55">
        <f t="shared" si="149"/>
        <v>0</v>
      </c>
      <c r="AB841" s="55">
        <f t="shared" si="150"/>
        <v>0</v>
      </c>
      <c r="AC841" s="55">
        <f t="shared" si="146"/>
        <v>0</v>
      </c>
    </row>
    <row r="842" spans="1:29">
      <c r="A842" t="s">
        <v>22</v>
      </c>
      <c r="B842" s="16" t="str">
        <f>INDEX(emprunts!C:C,MATCH($A842,emprunts!A:A,0))</f>
        <v>Dexia CL</v>
      </c>
      <c r="C842" s="18">
        <f>INDEX(emprunts!M:M,MATCH($A842,emprunts!$A:$A,0))</f>
        <v>37221</v>
      </c>
      <c r="D842" s="18">
        <f>IF(INDEX(emprunts!O:O,MATCH($A842,emprunts!$A:$A,0))="",INDEX(emprunts!N:N,MATCH($A842,emprunts!$A:$A,0)),MIN(INDEX(emprunts!N:N,MATCH($A842,emprunts!$A:$A,0)),INDEX(emprunts!O:O,MATCH($A842,emprunts!$A:$A,0))))</f>
        <v>38777</v>
      </c>
      <c r="E842" s="52">
        <f>INDEX(emprunts!I:I,MATCH($A842,emprunts!$A:$A,0))</f>
        <v>20</v>
      </c>
      <c r="F842" s="18" t="str">
        <f>INDEX(emprunts!P:P,MATCH($A842,emprunts!$A:$A,0))</f>
        <v>Annulable</v>
      </c>
      <c r="G842" s="126" t="str">
        <f>IF(LEFT(A842,3)="vx_","vx",INDEX(Categorie,MATCH($A842,emprunts!$A$2:$A$149,0)))</f>
        <v>Struct</v>
      </c>
      <c r="H842">
        <v>2014</v>
      </c>
      <c r="I842">
        <f t="shared" si="143"/>
        <v>1</v>
      </c>
      <c r="N842"/>
      <c r="O842" s="58"/>
      <c r="Q842" s="58"/>
      <c r="R842" s="58"/>
      <c r="S842" s="58"/>
      <c r="T842" s="58"/>
      <c r="U842" s="58"/>
      <c r="V842" s="14" t="str">
        <f t="shared" si="151"/>
        <v/>
      </c>
      <c r="W842" s="77"/>
      <c r="X842" s="85">
        <f t="shared" si="144"/>
        <v>0</v>
      </c>
      <c r="Y842" s="21" t="str">
        <f t="shared" si="142"/>
        <v/>
      </c>
      <c r="AA842" s="55">
        <f t="shared" si="149"/>
        <v>0</v>
      </c>
      <c r="AB842" s="55">
        <f t="shared" si="150"/>
        <v>0</v>
      </c>
      <c r="AC842" s="55">
        <f t="shared" si="146"/>
        <v>0</v>
      </c>
    </row>
    <row r="843" spans="1:29">
      <c r="A843" t="s">
        <v>26</v>
      </c>
      <c r="B843" s="16" t="str">
        <f>INDEX(emprunts!C:C,MATCH($A843,emprunts!A:A,0))</f>
        <v>CDC</v>
      </c>
      <c r="C843" s="18">
        <f>INDEX(emprunts!M:M,MATCH($A843,emprunts!$A:$A,0))</f>
        <v>37281</v>
      </c>
      <c r="D843" s="18">
        <f>IF(INDEX(emprunts!O:O,MATCH($A843,emprunts!$A:$A,0))="",INDEX(emprunts!N:N,MATCH($A843,emprunts!$A:$A,0)),MIN(INDEX(emprunts!N:N,MATCH($A843,emprunts!$A:$A,0)),INDEX(emprunts!O:O,MATCH($A843,emprunts!$A:$A,0))))</f>
        <v>39838</v>
      </c>
      <c r="E843" s="52">
        <f>INDEX(emprunts!I:I,MATCH($A843,emprunts!$A:$A,0))</f>
        <v>7</v>
      </c>
      <c r="F843" s="18" t="str">
        <f>INDEX(emprunts!P:P,MATCH($A843,emprunts!$A:$A,0))</f>
        <v>Fixe</v>
      </c>
      <c r="G843" s="126" t="str">
        <f>IF(LEFT(A843,3)="vx_","vx",INDEX(Categorie,MATCH($A843,emprunts!$A$2:$A$149,0)))</f>
        <v>Non_st</v>
      </c>
      <c r="H843">
        <v>2014</v>
      </c>
      <c r="I843">
        <f t="shared" si="143"/>
        <v>1</v>
      </c>
      <c r="N843"/>
      <c r="O843" s="58"/>
      <c r="Q843" s="58"/>
      <c r="R843" s="58"/>
      <c r="S843" s="58"/>
      <c r="T843" s="58"/>
      <c r="U843" s="58"/>
      <c r="V843" s="14" t="str">
        <f t="shared" si="151"/>
        <v/>
      </c>
      <c r="W843" s="77"/>
      <c r="X843" s="85">
        <f t="shared" si="144"/>
        <v>0</v>
      </c>
      <c r="Y843" s="21" t="str">
        <f t="shared" si="142"/>
        <v/>
      </c>
      <c r="AA843" s="55">
        <f t="shared" si="149"/>
        <v>0</v>
      </c>
      <c r="AB843" s="55">
        <f t="shared" si="150"/>
        <v>0</v>
      </c>
      <c r="AC843" s="55">
        <f t="shared" si="146"/>
        <v>0</v>
      </c>
    </row>
    <row r="844" spans="1:29">
      <c r="A844" t="s">
        <v>28</v>
      </c>
      <c r="B844" s="16" t="str">
        <f>INDEX(emprunts!C:C,MATCH($A844,emprunts!A:A,0))</f>
        <v>CDC</v>
      </c>
      <c r="C844" s="18">
        <f>INDEX(emprunts!M:M,MATCH($A844,emprunts!$A:$A,0))</f>
        <v>37288</v>
      </c>
      <c r="D844" s="18">
        <f>IF(INDEX(emprunts!O:O,MATCH($A844,emprunts!$A:$A,0))="",INDEX(emprunts!N:N,MATCH($A844,emprunts!$A:$A,0)),MIN(INDEX(emprunts!N:N,MATCH($A844,emprunts!$A:$A,0)),INDEX(emprunts!O:O,MATCH($A844,emprunts!$A:$A,0))))</f>
        <v>44593</v>
      </c>
      <c r="E844" s="52">
        <f>INDEX(emprunts!I:I,MATCH($A844,emprunts!$A:$A,0))</f>
        <v>20</v>
      </c>
      <c r="F844" s="18" t="str">
        <f>INDEX(emprunts!P:P,MATCH($A844,emprunts!$A:$A,0))</f>
        <v>Livret A</v>
      </c>
      <c r="G844" s="126" t="str">
        <f>IF(LEFT(A844,3)="vx_","vx",INDEX(Categorie,MATCH($A844,emprunts!$A$2:$A$149,0)))</f>
        <v>Livr_A</v>
      </c>
      <c r="H844">
        <v>2014</v>
      </c>
      <c r="I844">
        <f t="shared" si="143"/>
        <v>1</v>
      </c>
      <c r="L844" s="5">
        <v>37653</v>
      </c>
      <c r="M844" s="5">
        <v>37653</v>
      </c>
      <c r="N844" s="14">
        <v>2137796</v>
      </c>
      <c r="O844" s="58">
        <v>979687</v>
      </c>
      <c r="P844" s="4">
        <v>1.29E-2</v>
      </c>
      <c r="Q844" s="58">
        <v>19125.07</v>
      </c>
      <c r="R844" s="58">
        <v>113174.66</v>
      </c>
      <c r="S844" s="58"/>
      <c r="T844" s="58">
        <v>11172.45</v>
      </c>
      <c r="U844" s="58">
        <f>SUM(Q844:S844)</f>
        <v>132299.73000000001</v>
      </c>
      <c r="V844" s="14">
        <f t="shared" si="151"/>
        <v>0</v>
      </c>
      <c r="W844" s="77"/>
      <c r="X844" s="85">
        <f t="shared" si="144"/>
        <v>0</v>
      </c>
      <c r="Y844" s="21">
        <f t="shared" si="142"/>
        <v>1.2433454679498256E-2</v>
      </c>
      <c r="AA844" s="55">
        <f t="shared" si="149"/>
        <v>12849.170000000002</v>
      </c>
      <c r="AB844" s="55">
        <f t="shared" si="150"/>
        <v>0.65999999991618097</v>
      </c>
      <c r="AC844" s="55">
        <f t="shared" si="146"/>
        <v>1033435.2222465753</v>
      </c>
    </row>
    <row r="845" spans="1:29">
      <c r="A845" t="s">
        <v>31</v>
      </c>
      <c r="B845" s="16" t="str">
        <f>INDEX(emprunts!C:C,MATCH($A845,emprunts!A:A,0))</f>
        <v>CDC</v>
      </c>
      <c r="C845" s="18">
        <f>INDEX(emprunts!M:M,MATCH($A845,emprunts!$A:$A,0))</f>
        <v>37347</v>
      </c>
      <c r="D845" s="18">
        <f>IF(INDEX(emprunts!O:O,MATCH($A845,emprunts!$A:$A,0))="",INDEX(emprunts!N:N,MATCH($A845,emprunts!$A:$A,0)),MIN(INDEX(emprunts!N:N,MATCH($A845,emprunts!$A:$A,0)),INDEX(emprunts!O:O,MATCH($A845,emprunts!$A:$A,0))))</f>
        <v>44652</v>
      </c>
      <c r="E845" s="52">
        <f>INDEX(emprunts!I:I,MATCH($A845,emprunts!$A:$A,0))</f>
        <v>20</v>
      </c>
      <c r="F845" s="18" t="str">
        <f>INDEX(emprunts!P:P,MATCH($A845,emprunts!$A:$A,0))</f>
        <v>Livret A</v>
      </c>
      <c r="G845" s="126" t="str">
        <f>IF(LEFT(A845,3)="vx_","vx",INDEX(Categorie,MATCH($A845,emprunts!$A$2:$A$149,0)))</f>
        <v>Livr_A</v>
      </c>
      <c r="H845">
        <v>2014</v>
      </c>
      <c r="I845">
        <f t="shared" si="143"/>
        <v>1</v>
      </c>
      <c r="N845"/>
      <c r="O845" s="58"/>
      <c r="Q845" s="58"/>
      <c r="R845" s="58"/>
      <c r="S845" s="58"/>
      <c r="T845" s="58"/>
      <c r="U845" s="58"/>
      <c r="V845" s="14" t="str">
        <f t="shared" si="151"/>
        <v/>
      </c>
      <c r="W845" s="77"/>
      <c r="X845" s="85">
        <f t="shared" si="144"/>
        <v>0</v>
      </c>
      <c r="Y845" s="21" t="str">
        <f t="shared" si="142"/>
        <v/>
      </c>
      <c r="AA845" s="55">
        <f t="shared" si="149"/>
        <v>0</v>
      </c>
      <c r="AB845" s="55">
        <f t="shared" si="150"/>
        <v>0</v>
      </c>
      <c r="AC845" s="55">
        <f t="shared" si="146"/>
        <v>0</v>
      </c>
    </row>
    <row r="846" spans="1:29">
      <c r="A846" t="s">
        <v>33</v>
      </c>
      <c r="B846" s="16" t="str">
        <f>INDEX(emprunts!C:C,MATCH($A846,emprunts!A:A,0))</f>
        <v>Crédit Agricole</v>
      </c>
      <c r="C846" s="18">
        <f>INDEX(emprunts!M:M,MATCH($A846,emprunts!$A:$A,0))</f>
        <v>37361</v>
      </c>
      <c r="D846" s="18">
        <f>IF(INDEX(emprunts!O:O,MATCH($A846,emprunts!$A:$A,0))="",INDEX(emprunts!N:N,MATCH($A846,emprunts!$A:$A,0)),MIN(INDEX(emprunts!N:N,MATCH($A846,emprunts!$A:$A,0)),INDEX(emprunts!O:O,MATCH($A846,emprunts!$A:$A,0))))</f>
        <v>42843</v>
      </c>
      <c r="E846" s="52">
        <f>INDEX(emprunts!I:I,MATCH($A846,emprunts!$A:$A,0))</f>
        <v>15</v>
      </c>
      <c r="F846" s="18" t="str">
        <f>INDEX(emprunts!P:P,MATCH($A846,emprunts!$A:$A,0))</f>
        <v>Barrière hors zone EUR</v>
      </c>
      <c r="G846" s="126" t="str">
        <f>IF(LEFT(A846,3)="vx_","vx",INDEX(Categorie,MATCH($A846,emprunts!$A$2:$A$149,0)))</f>
        <v>Struct</v>
      </c>
      <c r="H846">
        <v>2014</v>
      </c>
      <c r="I846">
        <f t="shared" si="143"/>
        <v>1</v>
      </c>
      <c r="L846" s="5">
        <v>37726</v>
      </c>
      <c r="M846" s="5">
        <v>37726</v>
      </c>
      <c r="N846"/>
      <c r="O846" s="58">
        <v>3185903</v>
      </c>
      <c r="P846" s="4">
        <v>1.6999999999999999E-3</v>
      </c>
      <c r="Q846" s="58">
        <v>9189.11</v>
      </c>
      <c r="R846" s="58">
        <v>990967.27</v>
      </c>
      <c r="S846" s="58"/>
      <c r="T846" s="58">
        <v>3404.11</v>
      </c>
      <c r="U846" s="58">
        <f>SUM(Q846:S846)</f>
        <v>1000156.38</v>
      </c>
      <c r="V846" s="14">
        <f t="shared" si="151"/>
        <v>0</v>
      </c>
      <c r="W846" s="77"/>
      <c r="X846" s="85">
        <f t="shared" si="144"/>
        <v>0</v>
      </c>
      <c r="Y846" s="21">
        <f t="shared" si="142"/>
        <v>1.7282921272031889E-3</v>
      </c>
      <c r="AA846" s="55">
        <f t="shared" si="149"/>
        <v>6345.0800000000008</v>
      </c>
      <c r="AB846" s="55">
        <f t="shared" si="150"/>
        <v>0.27000000001862645</v>
      </c>
      <c r="AC846" s="55">
        <f t="shared" si="146"/>
        <v>3671300.6442191778</v>
      </c>
    </row>
    <row r="847" spans="1:29">
      <c r="A847" t="s">
        <v>38</v>
      </c>
      <c r="B847" s="16" t="str">
        <f>INDEX(emprunts!C:C,MATCH($A847,emprunts!A:A,0))</f>
        <v>Dexia CL</v>
      </c>
      <c r="C847" s="18">
        <f>INDEX(emprunts!M:M,MATCH($A847,emprunts!$A:$A,0))</f>
        <v>37377</v>
      </c>
      <c r="D847" s="18">
        <f>IF(INDEX(emprunts!O:O,MATCH($A847,emprunts!$A:$A,0))="",INDEX(emprunts!N:N,MATCH($A847,emprunts!$A:$A,0)),MIN(INDEX(emprunts!N:N,MATCH($A847,emprunts!$A:$A,0)),INDEX(emprunts!O:O,MATCH($A847,emprunts!$A:$A,0))))</f>
        <v>38087</v>
      </c>
      <c r="E847" s="52">
        <f>INDEX(emprunts!I:I,MATCH($A847,emprunts!$A:$A,0))</f>
        <v>17</v>
      </c>
      <c r="F847" s="18" t="str">
        <f>INDEX(emprunts!P:P,MATCH($A847,emprunts!$A:$A,0))</f>
        <v>Barrière</v>
      </c>
      <c r="G847" s="126" t="str">
        <f>IF(LEFT(A847,3)="vx_","vx",INDEX(Categorie,MATCH($A847,emprunts!$A$2:$A$149,0)))</f>
        <v>Struct</v>
      </c>
      <c r="H847">
        <v>2014</v>
      </c>
      <c r="I847">
        <f t="shared" si="143"/>
        <v>1</v>
      </c>
      <c r="N847"/>
      <c r="O847" s="58"/>
      <c r="Q847" s="58"/>
      <c r="R847" s="58"/>
      <c r="S847" s="58"/>
      <c r="T847" s="58"/>
      <c r="U847" s="58"/>
      <c r="V847" s="14" t="str">
        <f t="shared" si="151"/>
        <v/>
      </c>
      <c r="W847" s="77"/>
      <c r="X847" s="85">
        <f t="shared" si="144"/>
        <v>0</v>
      </c>
      <c r="Y847" s="21" t="str">
        <f t="shared" si="142"/>
        <v/>
      </c>
      <c r="AA847" s="55">
        <f t="shared" si="149"/>
        <v>0</v>
      </c>
      <c r="AB847" s="55">
        <f t="shared" si="150"/>
        <v>0</v>
      </c>
      <c r="AC847" s="55">
        <f t="shared" si="146"/>
        <v>0</v>
      </c>
    </row>
    <row r="848" spans="1:29">
      <c r="A848" t="s">
        <v>43</v>
      </c>
      <c r="B848" s="16" t="str">
        <f>INDEX(emprunts!C:C,MATCH($A848,emprunts!A:A,0))</f>
        <v>Dexia CL</v>
      </c>
      <c r="C848" s="18">
        <f>INDEX(emprunts!M:M,MATCH($A848,emprunts!$A:$A,0))</f>
        <v>37377</v>
      </c>
      <c r="D848" s="18">
        <f>IF(INDEX(emprunts!O:O,MATCH($A848,emprunts!$A:$A,0))="",INDEX(emprunts!N:N,MATCH($A848,emprunts!$A:$A,0)),MIN(INDEX(emprunts!N:N,MATCH($A848,emprunts!$A:$A,0)),INDEX(emprunts!O:O,MATCH($A848,emprunts!$A:$A,0))))</f>
        <v>38534</v>
      </c>
      <c r="E848" s="52">
        <f>INDEX(emprunts!I:I,MATCH($A848,emprunts!$A:$A,0))</f>
        <v>19.25</v>
      </c>
      <c r="F848" s="18" t="str">
        <f>INDEX(emprunts!P:P,MATCH($A848,emprunts!$A:$A,0))</f>
        <v>Barrière hors zone EUR</v>
      </c>
      <c r="G848" s="126" t="str">
        <f>IF(LEFT(A848,3)="vx_","vx",INDEX(Categorie,MATCH($A848,emprunts!$A$2:$A$149,0)))</f>
        <v>Struct</v>
      </c>
      <c r="H848">
        <v>2014</v>
      </c>
      <c r="I848">
        <f t="shared" si="143"/>
        <v>1</v>
      </c>
      <c r="N848"/>
      <c r="O848" s="58"/>
      <c r="Q848" s="58"/>
      <c r="R848" s="58"/>
      <c r="S848" s="58"/>
      <c r="T848" s="58"/>
      <c r="U848" s="58"/>
      <c r="V848" s="14" t="str">
        <f t="shared" si="151"/>
        <v/>
      </c>
      <c r="W848" s="77"/>
      <c r="X848" s="85">
        <f t="shared" si="144"/>
        <v>0</v>
      </c>
      <c r="Y848" s="21" t="str">
        <f t="shared" si="142"/>
        <v/>
      </c>
      <c r="AA848" s="55">
        <f t="shared" si="149"/>
        <v>0</v>
      </c>
      <c r="AB848" s="55">
        <f t="shared" si="150"/>
        <v>0</v>
      </c>
      <c r="AC848" s="55">
        <f t="shared" si="146"/>
        <v>0</v>
      </c>
    </row>
    <row r="849" spans="1:29">
      <c r="A849" t="s">
        <v>46</v>
      </c>
      <c r="B849" s="16" t="str">
        <f>INDEX(emprunts!C:C,MATCH($A849,emprunts!A:A,0))</f>
        <v>Dexia CL</v>
      </c>
      <c r="C849" s="18">
        <f>INDEX(emprunts!M:M,MATCH($A849,emprunts!$A:$A,0))</f>
        <v>37377</v>
      </c>
      <c r="D849" s="18">
        <f>IF(INDEX(emprunts!O:O,MATCH($A849,emprunts!$A:$A,0))="",INDEX(emprunts!N:N,MATCH($A849,emprunts!$A:$A,0)),MIN(INDEX(emprunts!N:N,MATCH($A849,emprunts!$A:$A,0)),INDEX(emprunts!O:O,MATCH($A849,emprunts!$A:$A,0))))</f>
        <v>38087</v>
      </c>
      <c r="E849" s="52">
        <f>INDEX(emprunts!I:I,MATCH($A849,emprunts!$A:$A,0))</f>
        <v>19.25</v>
      </c>
      <c r="F849" s="18" t="str">
        <f>INDEX(emprunts!P:P,MATCH($A849,emprunts!$A:$A,0))</f>
        <v>Barrière hors zone EUR</v>
      </c>
      <c r="G849" s="126" t="str">
        <f>IF(LEFT(A849,3)="vx_","vx",INDEX(Categorie,MATCH($A849,emprunts!$A$2:$A$149,0)))</f>
        <v>Struct</v>
      </c>
      <c r="H849">
        <v>2014</v>
      </c>
      <c r="I849">
        <f t="shared" si="143"/>
        <v>1</v>
      </c>
      <c r="N849"/>
      <c r="O849" s="58"/>
      <c r="Q849" s="58"/>
      <c r="R849" s="58"/>
      <c r="S849" s="58"/>
      <c r="T849" s="58"/>
      <c r="U849" s="58"/>
      <c r="V849" s="14" t="str">
        <f t="shared" si="151"/>
        <v/>
      </c>
      <c r="W849" s="77"/>
      <c r="X849" s="85">
        <f t="shared" si="144"/>
        <v>0</v>
      </c>
      <c r="Y849" s="21" t="str">
        <f t="shared" si="142"/>
        <v/>
      </c>
      <c r="AA849" s="55">
        <f t="shared" si="149"/>
        <v>0</v>
      </c>
      <c r="AB849" s="55">
        <f t="shared" si="150"/>
        <v>0</v>
      </c>
      <c r="AC849" s="55">
        <f t="shared" si="146"/>
        <v>0</v>
      </c>
    </row>
    <row r="850" spans="1:29">
      <c r="A850" t="s">
        <v>51</v>
      </c>
      <c r="B850" s="16" t="str">
        <f>INDEX(emprunts!C:C,MATCH($A850,emprunts!A:A,0))</f>
        <v>Dexia CL</v>
      </c>
      <c r="C850" s="18">
        <f>INDEX(emprunts!M:M,MATCH($A850,emprunts!$A:$A,0))</f>
        <v>37377</v>
      </c>
      <c r="D850" s="18">
        <f>IF(INDEX(emprunts!O:O,MATCH($A850,emprunts!$A:$A,0))="",INDEX(emprunts!N:N,MATCH($A850,emprunts!$A:$A,0)),MIN(INDEX(emprunts!N:N,MATCH($A850,emprunts!$A:$A,0)),INDEX(emprunts!O:O,MATCH($A850,emprunts!$A:$A,0))))</f>
        <v>38193</v>
      </c>
      <c r="E850" s="52">
        <f>INDEX(emprunts!I:I,MATCH($A850,emprunts!$A:$A,0))</f>
        <v>8</v>
      </c>
      <c r="F850" s="18" t="str">
        <f>INDEX(emprunts!P:P,MATCH($A850,emprunts!$A:$A,0))</f>
        <v>Variable hors zone EUR</v>
      </c>
      <c r="G850" s="126" t="str">
        <f>IF(LEFT(A850,3)="vx_","vx",INDEX(Categorie,MATCH($A850,emprunts!$A$2:$A$149,0)))</f>
        <v>Struct</v>
      </c>
      <c r="H850">
        <v>2014</v>
      </c>
      <c r="I850">
        <f t="shared" si="143"/>
        <v>1</v>
      </c>
      <c r="N850"/>
      <c r="O850" s="58"/>
      <c r="Q850" s="58"/>
      <c r="R850" s="58"/>
      <c r="S850" s="58"/>
      <c r="T850" s="58"/>
      <c r="U850" s="58"/>
      <c r="V850" s="14" t="str">
        <f t="shared" si="151"/>
        <v/>
      </c>
      <c r="W850" s="77"/>
      <c r="X850" s="85">
        <f t="shared" si="144"/>
        <v>0</v>
      </c>
      <c r="Y850" s="21" t="str">
        <f t="shared" si="142"/>
        <v/>
      </c>
      <c r="AA850" s="55">
        <f t="shared" si="149"/>
        <v>0</v>
      </c>
      <c r="AB850" s="55">
        <f t="shared" si="150"/>
        <v>0</v>
      </c>
      <c r="AC850" s="55">
        <f t="shared" si="146"/>
        <v>0</v>
      </c>
    </row>
    <row r="851" spans="1:29">
      <c r="A851" t="s">
        <v>55</v>
      </c>
      <c r="B851" s="16" t="str">
        <f>INDEX(emprunts!C:C,MATCH($A851,emprunts!A:A,0))</f>
        <v>CDC</v>
      </c>
      <c r="C851" s="18">
        <f>INDEX(emprunts!M:M,MATCH($A851,emprunts!$A:$A,0))</f>
        <v>37530</v>
      </c>
      <c r="D851" s="18">
        <f>IF(INDEX(emprunts!O:O,MATCH($A851,emprunts!$A:$A,0))="",INDEX(emprunts!N:N,MATCH($A851,emprunts!$A:$A,0)),MIN(INDEX(emprunts!N:N,MATCH($A851,emprunts!$A:$A,0)),INDEX(emprunts!O:O,MATCH($A851,emprunts!$A:$A,0))))</f>
        <v>37530</v>
      </c>
      <c r="E851" s="52">
        <f>INDEX(emprunts!I:I,MATCH($A851,emprunts!$A:$A,0))</f>
        <v>20</v>
      </c>
      <c r="F851" s="18" t="str">
        <f>INDEX(emprunts!P:P,MATCH($A851,emprunts!$A:$A,0))</f>
        <v>Livret A</v>
      </c>
      <c r="G851" s="126" t="str">
        <f>IF(LEFT(A851,3)="vx_","vx",INDEX(Categorie,MATCH($A851,emprunts!$A$2:$A$149,0)))</f>
        <v>Livr_A</v>
      </c>
      <c r="H851">
        <v>2014</v>
      </c>
      <c r="I851">
        <f t="shared" si="143"/>
        <v>1</v>
      </c>
      <c r="N851"/>
      <c r="O851" s="58"/>
      <c r="Q851" s="58"/>
      <c r="R851" s="58"/>
      <c r="S851" s="58"/>
      <c r="T851" s="58"/>
      <c r="U851" s="58"/>
      <c r="V851" s="14" t="str">
        <f t="shared" si="151"/>
        <v/>
      </c>
      <c r="W851" s="77"/>
      <c r="X851" s="85">
        <f t="shared" si="144"/>
        <v>0</v>
      </c>
      <c r="Y851" s="21" t="str">
        <f t="shared" ref="Y851:Y905" si="152">IF(AND(AA851&gt;0,YEAR(C851)&lt;=H851),AA851/AC851,"")</f>
        <v/>
      </c>
      <c r="AA851" s="55">
        <f t="shared" si="149"/>
        <v>0</v>
      </c>
      <c r="AB851" s="55">
        <f t="shared" si="150"/>
        <v>0</v>
      </c>
      <c r="AC851" s="55">
        <f t="shared" si="146"/>
        <v>0</v>
      </c>
    </row>
    <row r="852" spans="1:29">
      <c r="A852" t="s">
        <v>57</v>
      </c>
      <c r="B852" s="16" t="str">
        <f>INDEX(emprunts!C:C,MATCH($A852,emprunts!A:A,0))</f>
        <v>Dexia CL</v>
      </c>
      <c r="C852" s="18">
        <f>INDEX(emprunts!M:M,MATCH($A852,emprunts!$A:$A,0))</f>
        <v>37533</v>
      </c>
      <c r="D852" s="18">
        <f>IF(INDEX(emprunts!O:O,MATCH($A852,emprunts!$A:$A,0))="",INDEX(emprunts!N:N,MATCH($A852,emprunts!$A:$A,0)),MIN(INDEX(emprunts!N:N,MATCH($A852,emprunts!$A:$A,0)),INDEX(emprunts!O:O,MATCH($A852,emprunts!$A:$A,0))))</f>
        <v>38193</v>
      </c>
      <c r="E852" s="52">
        <f>INDEX(emprunts!I:I,MATCH($A852,emprunts!$A:$A,0))</f>
        <v>20</v>
      </c>
      <c r="F852" s="18" t="str">
        <f>INDEX(emprunts!P:P,MATCH($A852,emprunts!$A:$A,0))</f>
        <v>Fixe</v>
      </c>
      <c r="G852" s="126" t="str">
        <f>IF(LEFT(A852,3)="vx_","vx",INDEX(Categorie,MATCH($A852,emprunts!$A$2:$A$149,0)))</f>
        <v>Non_st</v>
      </c>
      <c r="H852">
        <v>2014</v>
      </c>
      <c r="I852">
        <f t="shared" si="143"/>
        <v>1</v>
      </c>
      <c r="N852"/>
      <c r="O852" s="58"/>
      <c r="Q852" s="58"/>
      <c r="R852" s="58"/>
      <c r="S852" s="58"/>
      <c r="T852" s="58"/>
      <c r="U852" s="58"/>
      <c r="V852" s="14" t="str">
        <f t="shared" si="151"/>
        <v/>
      </c>
      <c r="W852" s="77"/>
      <c r="X852" s="85">
        <f t="shared" si="144"/>
        <v>0</v>
      </c>
      <c r="Y852" s="21" t="str">
        <f t="shared" si="152"/>
        <v/>
      </c>
      <c r="AA852" s="55">
        <f t="shared" si="149"/>
        <v>0</v>
      </c>
      <c r="AB852" s="55">
        <f t="shared" si="150"/>
        <v>0</v>
      </c>
      <c r="AC852" s="55">
        <f t="shared" si="146"/>
        <v>0</v>
      </c>
    </row>
    <row r="853" spans="1:29">
      <c r="A853" t="s">
        <v>59</v>
      </c>
      <c r="B853" s="16" t="str">
        <f>INDEX(emprunts!C:C,MATCH($A853,emprunts!A:A,0))</f>
        <v>CDC</v>
      </c>
      <c r="C853" s="18">
        <f>INDEX(emprunts!M:M,MATCH($A853,emprunts!$A:$A,0))</f>
        <v>37621</v>
      </c>
      <c r="D853" s="18">
        <f>IF(INDEX(emprunts!O:O,MATCH($A853,emprunts!$A:$A,0))="",INDEX(emprunts!N:N,MATCH($A853,emprunts!$A:$A,0)),MIN(INDEX(emprunts!N:N,MATCH($A853,emprunts!$A:$A,0)),INDEX(emprunts!O:O,MATCH($A853,emprunts!$A:$A,0))))</f>
        <v>44927</v>
      </c>
      <c r="E853" s="52">
        <f>INDEX(emprunts!I:I,MATCH($A853,emprunts!$A:$A,0))</f>
        <v>20</v>
      </c>
      <c r="F853" s="18" t="str">
        <f>INDEX(emprunts!P:P,MATCH($A853,emprunts!$A:$A,0))</f>
        <v>Livret A</v>
      </c>
      <c r="G853" s="126" t="str">
        <f>IF(LEFT(A853,3)="vx_","vx",INDEX(Categorie,MATCH($A853,emprunts!$A$2:$A$149,0)))</f>
        <v>Livr_A</v>
      </c>
      <c r="H853">
        <v>2014</v>
      </c>
      <c r="I853">
        <f t="shared" si="143"/>
        <v>1</v>
      </c>
      <c r="N853"/>
      <c r="O853" s="58"/>
      <c r="Q853" s="58"/>
      <c r="R853" s="58"/>
      <c r="S853" s="58"/>
      <c r="T853" s="58"/>
      <c r="U853" s="58"/>
      <c r="V853" s="14" t="str">
        <f t="shared" si="151"/>
        <v/>
      </c>
      <c r="W853" s="77"/>
      <c r="X853" s="85">
        <f t="shared" si="144"/>
        <v>0</v>
      </c>
      <c r="Y853" s="21" t="str">
        <f t="shared" si="152"/>
        <v/>
      </c>
      <c r="AA853" s="55">
        <f t="shared" si="149"/>
        <v>0</v>
      </c>
      <c r="AB853" s="55">
        <f t="shared" si="150"/>
        <v>0</v>
      </c>
      <c r="AC853" s="55">
        <f t="shared" si="146"/>
        <v>0</v>
      </c>
    </row>
    <row r="854" spans="1:29">
      <c r="A854" t="s">
        <v>64</v>
      </c>
      <c r="B854" s="16" t="str">
        <f>INDEX(emprunts!C:C,MATCH($A854,emprunts!A:A,0))</f>
        <v>Dexia CL</v>
      </c>
      <c r="C854" s="18">
        <f>INDEX(emprunts!M:M,MATCH($A854,emprunts!$A:$A,0))</f>
        <v>37681</v>
      </c>
      <c r="D854" s="18">
        <f>IF(INDEX(emprunts!O:O,MATCH($A854,emprunts!$A:$A,0))="",INDEX(emprunts!N:N,MATCH($A854,emprunts!$A:$A,0)),MIN(INDEX(emprunts!N:N,MATCH($A854,emprunts!$A:$A,0)),INDEX(emprunts!O:O,MATCH($A854,emprunts!$A:$A,0))))</f>
        <v>38443</v>
      </c>
      <c r="E854" s="52">
        <f>INDEX(emprunts!I:I,MATCH($A854,emprunts!$A:$A,0))</f>
        <v>15</v>
      </c>
      <c r="F854" s="18" t="str">
        <f>INDEX(emprunts!P:P,MATCH($A854,emprunts!$A:$A,0))</f>
        <v>Barrière</v>
      </c>
      <c r="G854" s="126" t="str">
        <f>IF(LEFT(A854,3)="vx_","vx",INDEX(Categorie,MATCH($A854,emprunts!$A$2:$A$149,0)))</f>
        <v>Struct</v>
      </c>
      <c r="H854">
        <v>2014</v>
      </c>
      <c r="I854">
        <f t="shared" si="143"/>
        <v>1</v>
      </c>
      <c r="N854"/>
      <c r="O854" s="58"/>
      <c r="Q854" s="58"/>
      <c r="R854" s="58"/>
      <c r="S854" s="58"/>
      <c r="T854" s="58"/>
      <c r="U854" s="58"/>
      <c r="V854" s="14" t="str">
        <f t="shared" si="151"/>
        <v/>
      </c>
      <c r="W854" s="77"/>
      <c r="X854" s="85">
        <f t="shared" si="144"/>
        <v>0</v>
      </c>
      <c r="Y854" s="21" t="str">
        <f t="shared" si="152"/>
        <v/>
      </c>
      <c r="AA854" s="55">
        <f t="shared" si="149"/>
        <v>0</v>
      </c>
      <c r="AB854" s="55">
        <f t="shared" si="150"/>
        <v>0</v>
      </c>
      <c r="AC854" s="55">
        <f t="shared" si="146"/>
        <v>0</v>
      </c>
    </row>
    <row r="855" spans="1:29">
      <c r="A855" t="s">
        <v>71</v>
      </c>
      <c r="B855" s="16" t="str">
        <f>INDEX(emprunts!C:C,MATCH($A855,emprunts!A:A,0))</f>
        <v>Dexia CL</v>
      </c>
      <c r="C855" s="18">
        <f>INDEX(emprunts!M:M,MATCH($A855,emprunts!$A:$A,0))</f>
        <v>37742</v>
      </c>
      <c r="D855" s="18">
        <f>IF(INDEX(emprunts!O:O,MATCH($A855,emprunts!$A:$A,0))="",INDEX(emprunts!N:N,MATCH($A855,emprunts!$A:$A,0)),MIN(INDEX(emprunts!N:N,MATCH($A855,emprunts!$A:$A,0)),INDEX(emprunts!O:O,MATCH($A855,emprunts!$A:$A,0))))</f>
        <v>38443</v>
      </c>
      <c r="E855" s="52">
        <f>INDEX(emprunts!I:I,MATCH($A855,emprunts!$A:$A,0))</f>
        <v>8</v>
      </c>
      <c r="F855" s="18" t="str">
        <f>INDEX(emprunts!P:P,MATCH($A855,emprunts!$A:$A,0))</f>
        <v>Barrière</v>
      </c>
      <c r="G855" s="126" t="str">
        <f>IF(LEFT(A855,3)="vx_","vx",INDEX(Categorie,MATCH($A855,emprunts!$A$2:$A$149,0)))</f>
        <v>Struct</v>
      </c>
      <c r="H855">
        <v>2014</v>
      </c>
      <c r="I855">
        <f t="shared" si="143"/>
        <v>1</v>
      </c>
      <c r="N855"/>
      <c r="O855" s="58"/>
      <c r="Q855" s="58"/>
      <c r="R855" s="58"/>
      <c r="S855" s="58"/>
      <c r="T855" s="58"/>
      <c r="U855" s="58"/>
      <c r="V855" s="14" t="str">
        <f t="shared" si="151"/>
        <v/>
      </c>
      <c r="W855" s="77"/>
      <c r="X855" s="85">
        <f t="shared" si="144"/>
        <v>0</v>
      </c>
      <c r="Y855" s="21" t="str">
        <f t="shared" si="152"/>
        <v/>
      </c>
      <c r="AA855" s="55">
        <f t="shared" si="149"/>
        <v>0</v>
      </c>
      <c r="AB855" s="55">
        <f t="shared" si="150"/>
        <v>0</v>
      </c>
      <c r="AC855" s="55">
        <f t="shared" si="146"/>
        <v>0</v>
      </c>
    </row>
    <row r="856" spans="1:29">
      <c r="A856" t="s">
        <v>78</v>
      </c>
      <c r="B856" s="16" t="str">
        <f>INDEX(emprunts!C:C,MATCH($A856,emprunts!A:A,0))</f>
        <v>Dexia CL</v>
      </c>
      <c r="C856" s="18">
        <f>INDEX(emprunts!M:M,MATCH($A856,emprunts!$A:$A,0))</f>
        <v>37772</v>
      </c>
      <c r="D856" s="18">
        <f>IF(INDEX(emprunts!O:O,MATCH($A856,emprunts!$A:$A,0))="",INDEX(emprunts!N:N,MATCH($A856,emprunts!$A:$A,0)),MIN(INDEX(emprunts!N:N,MATCH($A856,emprunts!$A:$A,0)),INDEX(emprunts!O:O,MATCH($A856,emprunts!$A:$A,0))))</f>
        <v>38443</v>
      </c>
      <c r="E856" s="52">
        <f>INDEX(emprunts!I:I,MATCH($A856,emprunts!$A:$A,0))</f>
        <v>20</v>
      </c>
      <c r="F856" s="18" t="str">
        <f>INDEX(emprunts!P:P,MATCH($A856,emprunts!$A:$A,0))</f>
        <v>Barrière</v>
      </c>
      <c r="G856" s="126" t="str">
        <f>IF(LEFT(A856,3)="vx_","vx",INDEX(Categorie,MATCH($A856,emprunts!$A$2:$A$149,0)))</f>
        <v>Struct</v>
      </c>
      <c r="H856">
        <v>2014</v>
      </c>
      <c r="I856">
        <f t="shared" si="143"/>
        <v>1</v>
      </c>
      <c r="N856"/>
      <c r="O856" s="58"/>
      <c r="Q856" s="58"/>
      <c r="R856" s="58"/>
      <c r="S856" s="58"/>
      <c r="T856" s="58"/>
      <c r="U856" s="58"/>
      <c r="V856" s="14" t="str">
        <f t="shared" si="151"/>
        <v/>
      </c>
      <c r="W856" s="77"/>
      <c r="X856" s="85">
        <f t="shared" si="144"/>
        <v>0</v>
      </c>
      <c r="Y856" s="21" t="str">
        <f t="shared" si="152"/>
        <v/>
      </c>
      <c r="AA856" s="55">
        <f t="shared" si="149"/>
        <v>0</v>
      </c>
      <c r="AB856" s="55">
        <f t="shared" si="150"/>
        <v>0</v>
      </c>
      <c r="AC856" s="55">
        <f t="shared" si="146"/>
        <v>0</v>
      </c>
    </row>
    <row r="857" spans="1:29">
      <c r="A857" t="s">
        <v>79</v>
      </c>
      <c r="B857" s="16" t="str">
        <f>INDEX(emprunts!C:C,MATCH($A857,emprunts!A:A,0))</f>
        <v>Caisse d'Épargne</v>
      </c>
      <c r="C857" s="18">
        <f>INDEX(emprunts!M:M,MATCH($A857,emprunts!$A:$A,0))</f>
        <v>37803</v>
      </c>
      <c r="D857" s="18">
        <f>IF(INDEX(emprunts!O:O,MATCH($A857,emprunts!$A:$A,0))="",INDEX(emprunts!N:N,MATCH($A857,emprunts!$A:$A,0)),MIN(INDEX(emprunts!N:N,MATCH($A857,emprunts!$A:$A,0)),INDEX(emprunts!O:O,MATCH($A857,emprunts!$A:$A,0))))</f>
        <v>38773</v>
      </c>
      <c r="E857" s="52">
        <f>INDEX(emprunts!I:I,MATCH($A857,emprunts!$A:$A,0))</f>
        <v>20</v>
      </c>
      <c r="F857" s="18" t="str">
        <f>INDEX(emprunts!P:P,MATCH($A857,emprunts!$A:$A,0))</f>
        <v>Barrière hors zone EUR</v>
      </c>
      <c r="G857" s="126" t="str">
        <f>IF(LEFT(A857,3)="vx_","vx",INDEX(Categorie,MATCH($A857,emprunts!$A$2:$A$149,0)))</f>
        <v>Struct</v>
      </c>
      <c r="H857">
        <v>2014</v>
      </c>
      <c r="I857">
        <f t="shared" si="143"/>
        <v>1</v>
      </c>
      <c r="N857"/>
      <c r="O857" s="58"/>
      <c r="Q857" s="58"/>
      <c r="R857" s="58"/>
      <c r="S857" s="58"/>
      <c r="T857" s="58"/>
      <c r="U857" s="58"/>
      <c r="V857" s="14" t="str">
        <f t="shared" si="151"/>
        <v/>
      </c>
      <c r="W857" s="77"/>
      <c r="X857" s="85">
        <f t="shared" si="144"/>
        <v>0</v>
      </c>
      <c r="Y857" s="21" t="str">
        <f t="shared" si="152"/>
        <v/>
      </c>
      <c r="AA857" s="55">
        <f t="shared" si="149"/>
        <v>0</v>
      </c>
      <c r="AB857" s="55">
        <f t="shared" si="150"/>
        <v>0</v>
      </c>
      <c r="AC857" s="55">
        <f t="shared" si="146"/>
        <v>0</v>
      </c>
    </row>
    <row r="858" spans="1:29">
      <c r="A858" t="s">
        <v>84</v>
      </c>
      <c r="B858" s="16" t="str">
        <f>INDEX(emprunts!C:C,MATCH($A858,emprunts!A:A,0))</f>
        <v>Caisse d'Épargne</v>
      </c>
      <c r="C858" s="18">
        <f>INDEX(emprunts!M:M,MATCH($A858,emprunts!$A:$A,0))</f>
        <v>37865</v>
      </c>
      <c r="D858" s="18">
        <f>IF(INDEX(emprunts!O:O,MATCH($A858,emprunts!$A:$A,0))="",INDEX(emprunts!N:N,MATCH($A858,emprunts!$A:$A,0)),MIN(INDEX(emprunts!N:N,MATCH($A858,emprunts!$A:$A,0)),INDEX(emprunts!O:O,MATCH($A858,emprunts!$A:$A,0))))</f>
        <v>38961</v>
      </c>
      <c r="E858" s="52">
        <f>INDEX(emprunts!I:I,MATCH($A858,emprunts!$A:$A,0))</f>
        <v>3</v>
      </c>
      <c r="F858" s="18" t="str">
        <f>INDEX(emprunts!P:P,MATCH($A858,emprunts!$A:$A,0))</f>
        <v>Fixe</v>
      </c>
      <c r="G858" s="126" t="str">
        <f>IF(LEFT(A858,3)="vx_","vx",INDEX(Categorie,MATCH($A858,emprunts!$A$2:$A$149,0)))</f>
        <v>Non_st</v>
      </c>
      <c r="H858">
        <v>2014</v>
      </c>
      <c r="I858">
        <f t="shared" si="143"/>
        <v>1</v>
      </c>
      <c r="N858"/>
      <c r="O858" s="58"/>
      <c r="Q858" s="58"/>
      <c r="R858" s="58"/>
      <c r="S858" s="58"/>
      <c r="T858" s="58"/>
      <c r="U858" s="58"/>
      <c r="V858" s="14" t="str">
        <f t="shared" si="151"/>
        <v/>
      </c>
      <c r="W858" s="77"/>
      <c r="X858" s="85">
        <f t="shared" si="144"/>
        <v>0</v>
      </c>
      <c r="Y858" s="21" t="str">
        <f t="shared" si="152"/>
        <v/>
      </c>
      <c r="AA858" s="55">
        <f t="shared" si="149"/>
        <v>0</v>
      </c>
      <c r="AB858" s="55">
        <f t="shared" si="150"/>
        <v>0</v>
      </c>
      <c r="AC858" s="55">
        <f t="shared" si="146"/>
        <v>0</v>
      </c>
    </row>
    <row r="859" spans="1:29">
      <c r="A859" t="s">
        <v>86</v>
      </c>
      <c r="B859" s="16" t="str">
        <f>INDEX(emprunts!C:C,MATCH($A859,emprunts!A:A,0))</f>
        <v>Caisse d'Épargne</v>
      </c>
      <c r="C859" s="18">
        <f>INDEX(emprunts!M:M,MATCH($A859,emprunts!$A:$A,0))</f>
        <v>38022</v>
      </c>
      <c r="D859" s="18">
        <f>IF(INDEX(emprunts!O:O,MATCH($A859,emprunts!$A:$A,0))="",INDEX(emprunts!N:N,MATCH($A859,emprunts!$A:$A,0)),MIN(INDEX(emprunts!N:N,MATCH($A859,emprunts!$A:$A,0)),INDEX(emprunts!O:O,MATCH($A859,emprunts!$A:$A,0))))</f>
        <v>40719</v>
      </c>
      <c r="E859" s="52">
        <f>INDEX(emprunts!I:I,MATCH($A859,emprunts!$A:$A,0))</f>
        <v>7</v>
      </c>
      <c r="F859" s="18" t="str">
        <f>INDEX(emprunts!P:P,MATCH($A859,emprunts!$A:$A,0))</f>
        <v>Fixe</v>
      </c>
      <c r="G859" s="126" t="str">
        <f>IF(LEFT(A859,3)="vx_","vx",INDEX(Categorie,MATCH($A859,emprunts!$A$2:$A$149,0)))</f>
        <v>Non_st</v>
      </c>
      <c r="H859">
        <v>2014</v>
      </c>
      <c r="I859">
        <f t="shared" si="143"/>
        <v>1</v>
      </c>
      <c r="N859"/>
      <c r="O859" s="58"/>
      <c r="Q859" s="58"/>
      <c r="R859" s="58"/>
      <c r="S859" s="58"/>
      <c r="T859" s="58"/>
      <c r="U859" s="58"/>
      <c r="V859" s="14" t="str">
        <f t="shared" si="151"/>
        <v/>
      </c>
      <c r="W859" s="77"/>
      <c r="X859" s="85">
        <f t="shared" si="144"/>
        <v>0</v>
      </c>
      <c r="Y859" s="21" t="str">
        <f t="shared" si="152"/>
        <v/>
      </c>
      <c r="AA859" s="55">
        <f t="shared" si="149"/>
        <v>0</v>
      </c>
      <c r="AB859" s="55">
        <f t="shared" si="150"/>
        <v>0</v>
      </c>
      <c r="AC859" s="55">
        <f t="shared" si="146"/>
        <v>0</v>
      </c>
    </row>
    <row r="860" spans="1:29">
      <c r="A860" t="s">
        <v>88</v>
      </c>
      <c r="B860" s="16" t="str">
        <f>INDEX(emprunts!C:C,MATCH($A860,emprunts!A:A,0))</f>
        <v>Dexia CL</v>
      </c>
      <c r="C860" s="18">
        <f>INDEX(emprunts!M:M,MATCH($A860,emprunts!$A:$A,0))</f>
        <v>38077</v>
      </c>
      <c r="D860" s="18">
        <f>IF(INDEX(emprunts!O:O,MATCH($A860,emprunts!$A:$A,0))="",INDEX(emprunts!N:N,MATCH($A860,emprunts!$A:$A,0)),MIN(INDEX(emprunts!N:N,MATCH($A860,emprunts!$A:$A,0)),INDEX(emprunts!O:O,MATCH($A860,emprunts!$A:$A,0))))</f>
        <v>39173</v>
      </c>
      <c r="E860" s="52">
        <f>INDEX(emprunts!I:I,MATCH($A860,emprunts!$A:$A,0))</f>
        <v>3</v>
      </c>
      <c r="F860" s="18" t="str">
        <f>INDEX(emprunts!P:P,MATCH($A860,emprunts!$A:$A,0))</f>
        <v>Fixe</v>
      </c>
      <c r="G860" s="126" t="str">
        <f>IF(LEFT(A860,3)="vx_","vx",INDEX(Categorie,MATCH($A860,emprunts!$A$2:$A$149,0)))</f>
        <v>Non_st</v>
      </c>
      <c r="H860">
        <v>2014</v>
      </c>
      <c r="I860">
        <f t="shared" si="143"/>
        <v>1</v>
      </c>
      <c r="N860"/>
      <c r="O860" s="58"/>
      <c r="Q860" s="58"/>
      <c r="R860" s="58"/>
      <c r="S860" s="58"/>
      <c r="T860" s="58"/>
      <c r="U860" s="58"/>
      <c r="V860" s="14" t="str">
        <f t="shared" si="151"/>
        <v/>
      </c>
      <c r="W860" s="77"/>
      <c r="X860" s="85">
        <f t="shared" si="144"/>
        <v>0</v>
      </c>
      <c r="Y860" s="21" t="str">
        <f t="shared" si="152"/>
        <v/>
      </c>
      <c r="AA860" s="55">
        <f t="shared" si="149"/>
        <v>0</v>
      </c>
      <c r="AB860" s="55">
        <f t="shared" si="150"/>
        <v>0</v>
      </c>
      <c r="AC860" s="55">
        <f t="shared" si="146"/>
        <v>0</v>
      </c>
    </row>
    <row r="861" spans="1:29">
      <c r="A861" t="s">
        <v>90</v>
      </c>
      <c r="B861" s="16" t="str">
        <f>INDEX(emprunts!C:C,MATCH($A861,emprunts!A:A,0))</f>
        <v>Dexia CL</v>
      </c>
      <c r="C861" s="18">
        <f>INDEX(emprunts!M:M,MATCH($A861,emprunts!$A:$A,0))</f>
        <v>38087</v>
      </c>
      <c r="D861" s="18">
        <f>IF(INDEX(emprunts!O:O,MATCH($A861,emprunts!$A:$A,0))="",INDEX(emprunts!N:N,MATCH($A861,emprunts!$A:$A,0)),MIN(INDEX(emprunts!N:N,MATCH($A861,emprunts!$A:$A,0)),INDEX(emprunts!O:O,MATCH($A861,emprunts!$A:$A,0))))</f>
        <v>38687</v>
      </c>
      <c r="E861" s="52">
        <f>INDEX(emprunts!I:I,MATCH($A861,emprunts!$A:$A,0))</f>
        <v>17.75</v>
      </c>
      <c r="F861" s="18" t="str">
        <f>INDEX(emprunts!P:P,MATCH($A861,emprunts!$A:$A,0))</f>
        <v>Barrière avec multiplicateur</v>
      </c>
      <c r="G861" s="126" t="str">
        <f>IF(LEFT(A861,3)="vx_","vx",INDEX(Categorie,MATCH($A861,emprunts!$A$2:$A$149,0)))</f>
        <v>Struct</v>
      </c>
      <c r="H861">
        <v>2014</v>
      </c>
      <c r="I861">
        <f t="shared" si="143"/>
        <v>1</v>
      </c>
      <c r="N861"/>
      <c r="O861" s="58"/>
      <c r="Q861" s="58"/>
      <c r="R861" s="58"/>
      <c r="S861" s="58"/>
      <c r="T861" s="58"/>
      <c r="U861" s="58"/>
      <c r="V861" s="14" t="str">
        <f t="shared" si="151"/>
        <v/>
      </c>
      <c r="W861" s="77"/>
      <c r="X861" s="85">
        <f t="shared" si="144"/>
        <v>0</v>
      </c>
      <c r="Y861" s="21" t="str">
        <f t="shared" si="152"/>
        <v/>
      </c>
      <c r="AA861" s="55">
        <f t="shared" si="149"/>
        <v>0</v>
      </c>
      <c r="AB861" s="55">
        <f t="shared" si="150"/>
        <v>0</v>
      </c>
      <c r="AC861" s="55">
        <f t="shared" si="146"/>
        <v>0</v>
      </c>
    </row>
    <row r="862" spans="1:29">
      <c r="A862" t="s">
        <v>96</v>
      </c>
      <c r="B862" s="16" t="str">
        <f>INDEX(emprunts!C:C,MATCH($A862,emprunts!A:A,0))</f>
        <v>Dexia CL</v>
      </c>
      <c r="C862" s="18">
        <f>INDEX(emprunts!M:M,MATCH($A862,emprunts!$A:$A,0))</f>
        <v>38087</v>
      </c>
      <c r="D862" s="18">
        <f>IF(INDEX(emprunts!O:O,MATCH($A862,emprunts!$A:$A,0))="",INDEX(emprunts!N:N,MATCH($A862,emprunts!$A:$A,0)),MIN(INDEX(emprunts!N:N,MATCH($A862,emprunts!$A:$A,0)),INDEX(emprunts!O:O,MATCH($A862,emprunts!$A:$A,0))))</f>
        <v>38534</v>
      </c>
      <c r="E862" s="52">
        <f>INDEX(emprunts!I:I,MATCH($A862,emprunts!$A:$A,0))</f>
        <v>15</v>
      </c>
      <c r="F862" s="18" t="str">
        <f>INDEX(emprunts!P:P,MATCH($A862,emprunts!$A:$A,0))</f>
        <v>Barrière hors zone EUR</v>
      </c>
      <c r="G862" s="126" t="str">
        <f>IF(LEFT(A862,3)="vx_","vx",INDEX(Categorie,MATCH($A862,emprunts!$A$2:$A$149,0)))</f>
        <v>Struct</v>
      </c>
      <c r="H862">
        <v>2014</v>
      </c>
      <c r="I862">
        <f t="shared" ref="I862:I914" si="153">1*(C862&lt;DATE(H862,12,31))</f>
        <v>1</v>
      </c>
      <c r="N862"/>
      <c r="O862" s="58"/>
      <c r="Q862" s="58"/>
      <c r="R862" s="58"/>
      <c r="S862" s="58"/>
      <c r="T862" s="58"/>
      <c r="U862" s="58"/>
      <c r="V862" s="14" t="str">
        <f t="shared" si="151"/>
        <v/>
      </c>
      <c r="W862" s="77"/>
      <c r="X862" s="85">
        <f t="shared" ref="X862:X914" si="154">SUMPRODUCT((De=$A862)*(année_refi=$H862),Montant_transfere)</f>
        <v>0</v>
      </c>
      <c r="Y862" s="21" t="str">
        <f t="shared" si="152"/>
        <v/>
      </c>
      <c r="AA862" s="55">
        <f t="shared" si="149"/>
        <v>0</v>
      </c>
      <c r="AB862" s="55">
        <f t="shared" si="150"/>
        <v>0</v>
      </c>
      <c r="AC862" s="55">
        <f t="shared" si="146"/>
        <v>0</v>
      </c>
    </row>
    <row r="863" spans="1:29">
      <c r="A863" t="s">
        <v>98</v>
      </c>
      <c r="B863" s="16" t="str">
        <f>INDEX(emprunts!C:C,MATCH($A863,emprunts!A:A,0))</f>
        <v>Dexia CL</v>
      </c>
      <c r="C863" s="18">
        <f>INDEX(emprunts!M:M,MATCH($A863,emprunts!$A:$A,0))</f>
        <v>38092</v>
      </c>
      <c r="D863" s="18">
        <f>IF(INDEX(emprunts!O:O,MATCH($A863,emprunts!$A:$A,0))="",INDEX(emprunts!N:N,MATCH($A863,emprunts!$A:$A,0)),MIN(INDEX(emprunts!N:N,MATCH($A863,emprunts!$A:$A,0)),INDEX(emprunts!O:O,MATCH($A863,emprunts!$A:$A,0))))</f>
        <v>38443</v>
      </c>
      <c r="E863" s="52">
        <f>INDEX(emprunts!I:I,MATCH($A863,emprunts!$A:$A,0))</f>
        <v>15</v>
      </c>
      <c r="F863" s="18" t="str">
        <f>INDEX(emprunts!P:P,MATCH($A863,emprunts!$A:$A,0))</f>
        <v>Variable hors zone EUR</v>
      </c>
      <c r="G863" s="126" t="str">
        <f>IF(LEFT(A863,3)="vx_","vx",INDEX(Categorie,MATCH($A863,emprunts!$A$2:$A$149,0)))</f>
        <v>Struct</v>
      </c>
      <c r="H863">
        <v>2014</v>
      </c>
      <c r="I863">
        <f t="shared" si="153"/>
        <v>1</v>
      </c>
      <c r="N863"/>
      <c r="O863" s="58"/>
      <c r="Q863" s="58"/>
      <c r="R863" s="58"/>
      <c r="S863" s="58"/>
      <c r="T863" s="58"/>
      <c r="U863" s="58"/>
      <c r="V863" s="14" t="str">
        <f t="shared" si="151"/>
        <v/>
      </c>
      <c r="W863" s="77"/>
      <c r="X863" s="85">
        <f t="shared" si="154"/>
        <v>0</v>
      </c>
      <c r="Y863" s="21" t="str">
        <f t="shared" si="152"/>
        <v/>
      </c>
      <c r="AA863" s="55">
        <f t="shared" si="149"/>
        <v>0</v>
      </c>
      <c r="AB863" s="55">
        <f t="shared" si="150"/>
        <v>0</v>
      </c>
      <c r="AC863" s="55">
        <f t="shared" si="146"/>
        <v>0</v>
      </c>
    </row>
    <row r="864" spans="1:29">
      <c r="A864" t="s">
        <v>101</v>
      </c>
      <c r="B864" s="16" t="str">
        <f>INDEX(emprunts!C:C,MATCH($A864,emprunts!A:A,0))</f>
        <v>Dexia CL</v>
      </c>
      <c r="C864" s="18">
        <f>INDEX(emprunts!M:M,MATCH($A864,emprunts!$A:$A,0))</f>
        <v>38106</v>
      </c>
      <c r="D864" s="18">
        <f>IF(INDEX(emprunts!O:O,MATCH($A864,emprunts!$A:$A,0))="",INDEX(emprunts!N:N,MATCH($A864,emprunts!$A:$A,0)),MIN(INDEX(emprunts!N:N,MATCH($A864,emprunts!$A:$A,0)),INDEX(emprunts!O:O,MATCH($A864,emprunts!$A:$A,0))))</f>
        <v>39203</v>
      </c>
      <c r="E864" s="52">
        <f>INDEX(emprunts!I:I,MATCH($A864,emprunts!$A:$A,0))</f>
        <v>21</v>
      </c>
      <c r="F864" s="18" t="str">
        <f>INDEX(emprunts!P:P,MATCH($A864,emprunts!$A:$A,0))</f>
        <v>Barrière</v>
      </c>
      <c r="G864" s="126" t="str">
        <f>IF(LEFT(A864,3)="vx_","vx",INDEX(Categorie,MATCH($A864,emprunts!$A$2:$A$149,0)))</f>
        <v>Struct</v>
      </c>
      <c r="H864">
        <v>2014</v>
      </c>
      <c r="I864">
        <f t="shared" si="153"/>
        <v>1</v>
      </c>
      <c r="N864"/>
      <c r="O864" s="58"/>
      <c r="Q864" s="58"/>
      <c r="R864" s="58"/>
      <c r="S864" s="58"/>
      <c r="T864" s="58"/>
      <c r="U864" s="58"/>
      <c r="V864" s="14" t="str">
        <f t="shared" si="151"/>
        <v/>
      </c>
      <c r="W864" s="77"/>
      <c r="X864" s="85">
        <f t="shared" si="154"/>
        <v>0</v>
      </c>
      <c r="Y864" s="21" t="str">
        <f t="shared" si="152"/>
        <v/>
      </c>
      <c r="AA864" s="55">
        <f t="shared" si="149"/>
        <v>0</v>
      </c>
      <c r="AB864" s="55">
        <f t="shared" si="150"/>
        <v>0</v>
      </c>
      <c r="AC864" s="55">
        <f t="shared" si="146"/>
        <v>0</v>
      </c>
    </row>
    <row r="865" spans="1:29">
      <c r="A865" t="s">
        <v>105</v>
      </c>
      <c r="B865" s="16" t="str">
        <f>INDEX(emprunts!C:C,MATCH($A865,emprunts!A:A,0))</f>
        <v>Dexia CL</v>
      </c>
      <c r="C865" s="18">
        <f>INDEX(emprunts!M:M,MATCH($A865,emprunts!$A:$A,0))</f>
        <v>38153</v>
      </c>
      <c r="D865" s="18">
        <f>IF(INDEX(emprunts!O:O,MATCH($A865,emprunts!$A:$A,0))="",INDEX(emprunts!N:N,MATCH($A865,emprunts!$A:$A,0)),MIN(INDEX(emprunts!N:N,MATCH($A865,emprunts!$A:$A,0)),INDEX(emprunts!O:O,MATCH($A865,emprunts!$A:$A,0))))</f>
        <v>38384</v>
      </c>
      <c r="E865" s="52">
        <f>INDEX(emprunts!I:I,MATCH($A865,emprunts!$A:$A,0))</f>
        <v>10</v>
      </c>
      <c r="F865" s="18" t="str">
        <f>INDEX(emprunts!P:P,MATCH($A865,emprunts!$A:$A,0))</f>
        <v>Change</v>
      </c>
      <c r="G865" s="126" t="str">
        <f>IF(LEFT(A865,3)="vx_","vx",INDEX(Categorie,MATCH($A865,emprunts!$A$2:$A$149,0)))</f>
        <v>Struct</v>
      </c>
      <c r="H865">
        <v>2014</v>
      </c>
      <c r="I865">
        <f t="shared" si="153"/>
        <v>1</v>
      </c>
      <c r="N865"/>
      <c r="O865" s="58"/>
      <c r="Q865" s="58"/>
      <c r="R865" s="58"/>
      <c r="S865" s="58"/>
      <c r="T865" s="58"/>
      <c r="U865" s="58"/>
      <c r="V865" s="14" t="str">
        <f t="shared" si="151"/>
        <v/>
      </c>
      <c r="W865" s="77"/>
      <c r="X865" s="85">
        <f t="shared" si="154"/>
        <v>0</v>
      </c>
      <c r="Y865" s="21" t="str">
        <f t="shared" si="152"/>
        <v/>
      </c>
      <c r="AA865" s="55">
        <f t="shared" si="149"/>
        <v>0</v>
      </c>
      <c r="AB865" s="55">
        <f t="shared" si="150"/>
        <v>0</v>
      </c>
      <c r="AC865" s="55">
        <f t="shared" si="146"/>
        <v>0</v>
      </c>
    </row>
    <row r="866" spans="1:29">
      <c r="A866" t="s">
        <v>108</v>
      </c>
      <c r="B866" s="16" t="str">
        <f>INDEX(emprunts!C:C,MATCH($A866,emprunts!A:A,0))</f>
        <v>Dexia CL</v>
      </c>
      <c r="C866" s="18">
        <f>INDEX(emprunts!M:M,MATCH($A866,emprunts!$A:$A,0))</f>
        <v>38193</v>
      </c>
      <c r="D866" s="18">
        <f>IF(INDEX(emprunts!O:O,MATCH($A866,emprunts!$A:$A,0))="",INDEX(emprunts!N:N,MATCH($A866,emprunts!$A:$A,0)),MIN(INDEX(emprunts!N:N,MATCH($A866,emprunts!$A:$A,0)),INDEX(emprunts!O:O,MATCH($A866,emprunts!$A:$A,0))))</f>
        <v>38777</v>
      </c>
      <c r="E866" s="52">
        <f>INDEX(emprunts!I:I,MATCH($A866,emprunts!$A:$A,0))</f>
        <v>18</v>
      </c>
      <c r="F866" s="18" t="str">
        <f>INDEX(emprunts!P:P,MATCH($A866,emprunts!$A:$A,0))</f>
        <v>Pente</v>
      </c>
      <c r="G866" s="126" t="str">
        <f>IF(LEFT(A866,3)="vx_","vx",INDEX(Categorie,MATCH($A866,emprunts!$A$2:$A$149,0)))</f>
        <v>Struct</v>
      </c>
      <c r="H866">
        <v>2014</v>
      </c>
      <c r="I866">
        <f t="shared" si="153"/>
        <v>1</v>
      </c>
      <c r="N866"/>
      <c r="O866" s="58"/>
      <c r="Q866" s="58"/>
      <c r="R866" s="58"/>
      <c r="S866" s="58"/>
      <c r="T866" s="58"/>
      <c r="U866" s="58"/>
      <c r="V866" s="14" t="str">
        <f t="shared" si="151"/>
        <v/>
      </c>
      <c r="W866" s="77"/>
      <c r="X866" s="85">
        <f t="shared" si="154"/>
        <v>0</v>
      </c>
      <c r="Y866" s="21" t="str">
        <f t="shared" si="152"/>
        <v/>
      </c>
      <c r="AA866" s="55">
        <f t="shared" si="149"/>
        <v>0</v>
      </c>
      <c r="AB866" s="55">
        <f t="shared" si="150"/>
        <v>0</v>
      </c>
      <c r="AC866" s="55">
        <f t="shared" si="146"/>
        <v>0</v>
      </c>
    </row>
    <row r="867" spans="1:29">
      <c r="A867" t="s">
        <v>117</v>
      </c>
      <c r="B867" s="16" t="str">
        <f>INDEX(emprunts!C:C,MATCH($A867,emprunts!A:A,0))</f>
        <v>Dexia CL</v>
      </c>
      <c r="C867" s="18">
        <f>INDEX(emprunts!M:M,MATCH($A867,emprunts!$A:$A,0))</f>
        <v>38406</v>
      </c>
      <c r="D867" s="18">
        <f>IF(INDEX(emprunts!O:O,MATCH($A867,emprunts!$A:$A,0))="",INDEX(emprunts!N:N,MATCH($A867,emprunts!$A:$A,0)),MIN(INDEX(emprunts!N:N,MATCH($A867,emprunts!$A:$A,0)),INDEX(emprunts!O:O,MATCH($A867,emprunts!$A:$A,0))))</f>
        <v>39114</v>
      </c>
      <c r="E867" s="52">
        <f>INDEX(emprunts!I:I,MATCH($A867,emprunts!$A:$A,0))</f>
        <v>17</v>
      </c>
      <c r="F867" s="18" t="str">
        <f>INDEX(emprunts!P:P,MATCH($A867,emprunts!$A:$A,0))</f>
        <v>Barrière avec multiplicateur</v>
      </c>
      <c r="G867" s="126" t="str">
        <f>IF(LEFT(A867,3)="vx_","vx",INDEX(Categorie,MATCH($A867,emprunts!$A$2:$A$149,0)))</f>
        <v>Struct</v>
      </c>
      <c r="H867">
        <v>2014</v>
      </c>
      <c r="I867">
        <f t="shared" si="153"/>
        <v>1</v>
      </c>
      <c r="N867"/>
      <c r="O867" s="58"/>
      <c r="Q867" s="58"/>
      <c r="R867" s="58"/>
      <c r="S867" s="58"/>
      <c r="T867" s="58"/>
      <c r="U867" s="58"/>
      <c r="V867" s="14" t="str">
        <f t="shared" si="151"/>
        <v/>
      </c>
      <c r="W867" s="77"/>
      <c r="X867" s="85">
        <f t="shared" si="154"/>
        <v>0</v>
      </c>
      <c r="Y867" s="21" t="str">
        <f t="shared" si="152"/>
        <v/>
      </c>
      <c r="AA867" s="55">
        <f t="shared" si="149"/>
        <v>0</v>
      </c>
      <c r="AB867" s="55">
        <f t="shared" si="150"/>
        <v>0</v>
      </c>
      <c r="AC867" s="55">
        <f t="shared" si="146"/>
        <v>0</v>
      </c>
    </row>
    <row r="868" spans="1:29">
      <c r="A868" t="s">
        <v>121</v>
      </c>
      <c r="B868" s="16" t="str">
        <f>INDEX(emprunts!C:C,MATCH($A868,emprunts!A:A,0))</f>
        <v>Dexia CL</v>
      </c>
      <c r="C868" s="18">
        <f>INDEX(emprunts!M:M,MATCH($A868,emprunts!$A:$A,0))</f>
        <v>38406</v>
      </c>
      <c r="D868" s="18">
        <f>IF(INDEX(emprunts!O:O,MATCH($A868,emprunts!$A:$A,0))="",INDEX(emprunts!N:N,MATCH($A868,emprunts!$A:$A,0)),MIN(INDEX(emprunts!N:N,MATCH($A868,emprunts!$A:$A,0)),INDEX(emprunts!O:O,MATCH($A868,emprunts!$A:$A,0))))</f>
        <v>39203</v>
      </c>
      <c r="E868" s="52">
        <f>INDEX(emprunts!I:I,MATCH($A868,emprunts!$A:$A,0))</f>
        <v>15</v>
      </c>
      <c r="F868" s="18" t="str">
        <f>INDEX(emprunts!P:P,MATCH($A868,emprunts!$A:$A,0))</f>
        <v>Variable hors zone EUR</v>
      </c>
      <c r="G868" s="126" t="str">
        <f>IF(LEFT(A868,3)="vx_","vx",INDEX(Categorie,MATCH($A868,emprunts!$A$2:$A$149,0)))</f>
        <v>Struct</v>
      </c>
      <c r="H868">
        <v>2014</v>
      </c>
      <c r="I868">
        <f t="shared" si="153"/>
        <v>1</v>
      </c>
      <c r="N868"/>
      <c r="O868" s="58"/>
      <c r="Q868" s="58"/>
      <c r="R868" s="58"/>
      <c r="S868" s="58"/>
      <c r="T868" s="58"/>
      <c r="U868" s="58"/>
      <c r="V868" s="14" t="str">
        <f t="shared" si="151"/>
        <v/>
      </c>
      <c r="W868" s="77"/>
      <c r="X868" s="85">
        <f t="shared" si="154"/>
        <v>0</v>
      </c>
      <c r="Y868" s="21" t="str">
        <f t="shared" si="152"/>
        <v/>
      </c>
      <c r="AA868" s="55">
        <f t="shared" si="149"/>
        <v>0</v>
      </c>
      <c r="AB868" s="55">
        <f t="shared" si="150"/>
        <v>0</v>
      </c>
      <c r="AC868" s="55">
        <f t="shared" si="146"/>
        <v>0</v>
      </c>
    </row>
    <row r="869" spans="1:29">
      <c r="A869" t="s">
        <v>123</v>
      </c>
      <c r="B869" s="16" t="str">
        <f>INDEX(emprunts!C:C,MATCH($A869,emprunts!A:A,0))</f>
        <v>Crédit Mutuel</v>
      </c>
      <c r="C869" s="18">
        <f>INDEX(emprunts!M:M,MATCH($A869,emprunts!$A:$A,0))</f>
        <v>38435</v>
      </c>
      <c r="D869" s="18">
        <f>IF(INDEX(emprunts!O:O,MATCH($A869,emprunts!$A:$A,0))="",INDEX(emprunts!N:N,MATCH($A869,emprunts!$A:$A,0)),MIN(INDEX(emprunts!N:N,MATCH($A869,emprunts!$A:$A,0)),INDEX(emprunts!O:O,MATCH($A869,emprunts!$A:$A,0))))</f>
        <v>40260</v>
      </c>
      <c r="E869" s="52">
        <f>INDEX(emprunts!I:I,MATCH($A869,emprunts!$A:$A,0))</f>
        <v>5</v>
      </c>
      <c r="F869" s="18" t="str">
        <f>INDEX(emprunts!P:P,MATCH($A869,emprunts!$A:$A,0))</f>
        <v>Fixe</v>
      </c>
      <c r="G869" s="126" t="str">
        <f>IF(LEFT(A869,3)="vx_","vx",INDEX(Categorie,MATCH($A869,emprunts!$A$2:$A$149,0)))</f>
        <v>Non_st</v>
      </c>
      <c r="H869">
        <v>2014</v>
      </c>
      <c r="I869">
        <f t="shared" si="153"/>
        <v>1</v>
      </c>
      <c r="N869"/>
      <c r="O869" s="58"/>
      <c r="Q869" s="58"/>
      <c r="R869" s="58"/>
      <c r="S869" s="58"/>
      <c r="T869" s="58"/>
      <c r="U869" s="58"/>
      <c r="V869" s="14" t="str">
        <f t="shared" si="151"/>
        <v/>
      </c>
      <c r="W869" s="77"/>
      <c r="X869" s="85">
        <f t="shared" si="154"/>
        <v>0</v>
      </c>
      <c r="Y869" s="21" t="str">
        <f t="shared" si="152"/>
        <v/>
      </c>
      <c r="AA869" s="55">
        <f t="shared" si="149"/>
        <v>0</v>
      </c>
      <c r="AB869" s="55">
        <f t="shared" si="150"/>
        <v>0</v>
      </c>
      <c r="AC869" s="55">
        <f t="shared" si="146"/>
        <v>0</v>
      </c>
    </row>
    <row r="870" spans="1:29">
      <c r="A870" t="s">
        <v>125</v>
      </c>
      <c r="B870" s="16" t="str">
        <f>INDEX(emprunts!C:C,MATCH($A870,emprunts!A:A,0))</f>
        <v>Dexia CL</v>
      </c>
      <c r="C870" s="18">
        <f>INDEX(emprunts!M:M,MATCH($A870,emprunts!$A:$A,0))</f>
        <v>38443</v>
      </c>
      <c r="D870" s="18">
        <f>IF(INDEX(emprunts!O:O,MATCH($A870,emprunts!$A:$A,0))="",INDEX(emprunts!N:N,MATCH($A870,emprunts!$A:$A,0)),MIN(INDEX(emprunts!N:N,MATCH($A870,emprunts!$A:$A,0)),INDEX(emprunts!O:O,MATCH($A870,emprunts!$A:$A,0))))</f>
        <v>38899</v>
      </c>
      <c r="E870" s="52">
        <f>INDEX(emprunts!I:I,MATCH($A870,emprunts!$A:$A,0))</f>
        <v>19</v>
      </c>
      <c r="F870" s="18" t="str">
        <f>INDEX(emprunts!P:P,MATCH($A870,emprunts!$A:$A,0))</f>
        <v>Change</v>
      </c>
      <c r="G870" s="126" t="str">
        <f>IF(LEFT(A870,3)="vx_","vx",INDEX(Categorie,MATCH($A870,emprunts!$A$2:$A$149,0)))</f>
        <v>Struct</v>
      </c>
      <c r="H870">
        <v>2014</v>
      </c>
      <c r="I870">
        <f t="shared" si="153"/>
        <v>1</v>
      </c>
      <c r="N870"/>
      <c r="O870" s="58"/>
      <c r="Q870" s="58"/>
      <c r="R870" s="58"/>
      <c r="S870" s="58"/>
      <c r="T870" s="58"/>
      <c r="U870" s="58"/>
      <c r="V870" s="14" t="str">
        <f t="shared" si="151"/>
        <v/>
      </c>
      <c r="W870" s="77"/>
      <c r="X870" s="85">
        <f t="shared" si="154"/>
        <v>0</v>
      </c>
      <c r="Y870" s="21" t="str">
        <f t="shared" si="152"/>
        <v/>
      </c>
      <c r="AA870" s="55">
        <f t="shared" si="149"/>
        <v>0</v>
      </c>
      <c r="AB870" s="55">
        <f t="shared" si="150"/>
        <v>0</v>
      </c>
      <c r="AC870" s="55">
        <f t="shared" si="146"/>
        <v>0</v>
      </c>
    </row>
    <row r="871" spans="1:29">
      <c r="A871" t="s">
        <v>180</v>
      </c>
      <c r="B871" s="16" t="str">
        <f>INDEX(emprunts!C:C,MATCH($A871,emprunts!A:A,0))</f>
        <v>Dexia CL</v>
      </c>
      <c r="C871" s="18">
        <f>INDEX(emprunts!M:M,MATCH($A871,emprunts!$A:$A,0))</f>
        <v>38443</v>
      </c>
      <c r="D871" s="18">
        <f>IF(INDEX(emprunts!O:O,MATCH($A871,emprunts!$A:$A,0))="",INDEX(emprunts!N:N,MATCH($A871,emprunts!$A:$A,0)),MIN(INDEX(emprunts!N:N,MATCH($A871,emprunts!$A:$A,0)),INDEX(emprunts!O:O,MATCH($A871,emprunts!$A:$A,0))))</f>
        <v>39203</v>
      </c>
      <c r="E871" s="52">
        <f>INDEX(emprunts!I:I,MATCH($A871,emprunts!$A:$A,0))</f>
        <v>15</v>
      </c>
      <c r="F871" s="18" t="str">
        <f>INDEX(emprunts!P:P,MATCH($A871,emprunts!$A:$A,0))</f>
        <v>Change</v>
      </c>
      <c r="G871" s="126" t="str">
        <f>IF(LEFT(A871,3)="vx_","vx",INDEX(Categorie,MATCH($A871,emprunts!$A$2:$A$149,0)))</f>
        <v>Struct</v>
      </c>
      <c r="H871">
        <v>2014</v>
      </c>
      <c r="I871">
        <f t="shared" si="153"/>
        <v>1</v>
      </c>
      <c r="N871"/>
      <c r="O871" s="58"/>
      <c r="Q871" s="58"/>
      <c r="R871" s="58"/>
      <c r="S871" s="58"/>
      <c r="T871" s="58"/>
      <c r="U871" s="58"/>
      <c r="V871" s="14" t="str">
        <f t="shared" si="151"/>
        <v/>
      </c>
      <c r="W871" s="77"/>
      <c r="X871" s="85">
        <f t="shared" si="154"/>
        <v>0</v>
      </c>
      <c r="Y871" s="21" t="str">
        <f t="shared" si="152"/>
        <v/>
      </c>
      <c r="AA871" s="55">
        <f t="shared" si="149"/>
        <v>0</v>
      </c>
      <c r="AB871" s="55">
        <f t="shared" si="150"/>
        <v>0</v>
      </c>
      <c r="AC871" s="55">
        <f t="shared" si="146"/>
        <v>0</v>
      </c>
    </row>
    <row r="872" spans="1:29">
      <c r="A872" t="s">
        <v>183</v>
      </c>
      <c r="B872" s="16" t="str">
        <f>INDEX(emprunts!C:C,MATCH($A872,emprunts!A:A,0))</f>
        <v>CDC</v>
      </c>
      <c r="C872" s="18">
        <f>INDEX(emprunts!M:M,MATCH($A872,emprunts!$A:$A,0))</f>
        <v>38473</v>
      </c>
      <c r="D872" s="18">
        <f>IF(INDEX(emprunts!O:O,MATCH($A872,emprunts!$A:$A,0))="",INDEX(emprunts!N:N,MATCH($A872,emprunts!$A:$A,0)),MIN(INDEX(emprunts!N:N,MATCH($A872,emprunts!$A:$A,0)),INDEX(emprunts!O:O,MATCH($A872,emprunts!$A:$A,0))))</f>
        <v>40663</v>
      </c>
      <c r="E872" s="52">
        <f>INDEX(emprunts!I:I,MATCH($A872,emprunts!$A:$A,0))</f>
        <v>6</v>
      </c>
      <c r="F872" s="18" t="str">
        <f>INDEX(emprunts!P:P,MATCH($A872,emprunts!$A:$A,0))</f>
        <v>Variable</v>
      </c>
      <c r="G872" s="126" t="str">
        <f>IF(LEFT(A872,3)="vx_","vx",INDEX(Categorie,MATCH($A872,emprunts!$A$2:$A$149,0)))</f>
        <v>Non_st</v>
      </c>
      <c r="H872">
        <v>2014</v>
      </c>
      <c r="I872">
        <f t="shared" si="153"/>
        <v>1</v>
      </c>
      <c r="N872"/>
      <c r="O872" s="58"/>
      <c r="Q872" s="58"/>
      <c r="R872" s="58"/>
      <c r="S872" s="58"/>
      <c r="T872" s="58"/>
      <c r="U872" s="58"/>
      <c r="V872" s="14" t="str">
        <f t="shared" si="151"/>
        <v/>
      </c>
      <c r="W872" s="77"/>
      <c r="X872" s="85">
        <f t="shared" si="154"/>
        <v>0</v>
      </c>
      <c r="Y872" s="21" t="str">
        <f t="shared" si="152"/>
        <v/>
      </c>
      <c r="AA872" s="55">
        <f t="shared" si="149"/>
        <v>0</v>
      </c>
      <c r="AB872" s="55">
        <f t="shared" si="150"/>
        <v>0</v>
      </c>
      <c r="AC872" s="55">
        <f t="shared" si="146"/>
        <v>0</v>
      </c>
    </row>
    <row r="873" spans="1:29">
      <c r="A873" t="s">
        <v>185</v>
      </c>
      <c r="B873" s="16" t="str">
        <f>INDEX(emprunts!C:C,MATCH($A873,emprunts!A:A,0))</f>
        <v>CDC</v>
      </c>
      <c r="C873" s="18">
        <f>INDEX(emprunts!M:M,MATCH($A873,emprunts!$A:$A,0))</f>
        <v>38473</v>
      </c>
      <c r="D873" s="18">
        <f>IF(INDEX(emprunts!O:O,MATCH($A873,emprunts!$A:$A,0))="",INDEX(emprunts!N:N,MATCH($A873,emprunts!$A:$A,0)),MIN(INDEX(emprunts!N:N,MATCH($A873,emprunts!$A:$A,0)),INDEX(emprunts!O:O,MATCH($A873,emprunts!$A:$A,0))))</f>
        <v>41393</v>
      </c>
      <c r="E873" s="52">
        <f>INDEX(emprunts!I:I,MATCH($A873,emprunts!$A:$A,0))</f>
        <v>8</v>
      </c>
      <c r="F873" s="18" t="str">
        <f>INDEX(emprunts!P:P,MATCH($A873,emprunts!$A:$A,0))</f>
        <v>Variable</v>
      </c>
      <c r="G873" s="126" t="str">
        <f>IF(LEFT(A873,3)="vx_","vx",INDEX(Categorie,MATCH($A873,emprunts!$A$2:$A$149,0)))</f>
        <v>Non_st</v>
      </c>
      <c r="H873">
        <v>2014</v>
      </c>
      <c r="I873">
        <f t="shared" si="153"/>
        <v>1</v>
      </c>
      <c r="N873"/>
      <c r="O873" s="58"/>
      <c r="Q873" s="58"/>
      <c r="R873" s="58"/>
      <c r="S873" s="58"/>
      <c r="T873" s="58"/>
      <c r="U873" s="58"/>
      <c r="V873" s="14" t="str">
        <f t="shared" si="151"/>
        <v/>
      </c>
      <c r="W873" s="77"/>
      <c r="X873" s="85">
        <f t="shared" si="154"/>
        <v>0</v>
      </c>
      <c r="Y873" s="21" t="str">
        <f t="shared" si="152"/>
        <v/>
      </c>
      <c r="AA873" s="55">
        <f t="shared" si="149"/>
        <v>0</v>
      </c>
      <c r="AB873" s="55">
        <f t="shared" si="150"/>
        <v>0</v>
      </c>
      <c r="AC873" s="55">
        <f t="shared" si="146"/>
        <v>0</v>
      </c>
    </row>
    <row r="874" spans="1:29">
      <c r="A874" t="s">
        <v>186</v>
      </c>
      <c r="B874" s="16" t="str">
        <f>INDEX(emprunts!C:C,MATCH($A874,emprunts!A:A,0))</f>
        <v>Dexia CL</v>
      </c>
      <c r="C874" s="18">
        <f>INDEX(emprunts!M:M,MATCH($A874,emprunts!$A:$A,0))</f>
        <v>38504</v>
      </c>
      <c r="D874" s="18">
        <f>IF(INDEX(emprunts!O:O,MATCH($A874,emprunts!$A:$A,0))="",INDEX(emprunts!N:N,MATCH($A874,emprunts!$A:$A,0)),MIN(INDEX(emprunts!N:N,MATCH($A874,emprunts!$A:$A,0)),INDEX(emprunts!O:O,MATCH($A874,emprunts!$A:$A,0))))</f>
        <v>38805</v>
      </c>
      <c r="E874" s="52">
        <f>INDEX(emprunts!I:I,MATCH($A874,emprunts!$A:$A,0))</f>
        <v>17.25</v>
      </c>
      <c r="F874" s="18" t="str">
        <f>INDEX(emprunts!P:P,MATCH($A874,emprunts!$A:$A,0))</f>
        <v>Change</v>
      </c>
      <c r="G874" s="126" t="str">
        <f>IF(LEFT(A874,3)="vx_","vx",INDEX(Categorie,MATCH($A874,emprunts!$A$2:$A$149,0)))</f>
        <v>Struct</v>
      </c>
      <c r="H874">
        <v>2014</v>
      </c>
      <c r="I874">
        <f t="shared" si="153"/>
        <v>1</v>
      </c>
      <c r="N874"/>
      <c r="O874" s="58"/>
      <c r="Q874" s="58"/>
      <c r="R874" s="58"/>
      <c r="S874" s="58"/>
      <c r="T874" s="58"/>
      <c r="U874" s="58"/>
      <c r="V874" s="14" t="str">
        <f t="shared" si="151"/>
        <v/>
      </c>
      <c r="W874" s="77"/>
      <c r="X874" s="85">
        <f t="shared" si="154"/>
        <v>0</v>
      </c>
      <c r="Y874" s="21" t="str">
        <f t="shared" si="152"/>
        <v/>
      </c>
      <c r="AA874" s="55">
        <f t="shared" si="149"/>
        <v>0</v>
      </c>
      <c r="AB874" s="55">
        <f t="shared" si="150"/>
        <v>0</v>
      </c>
      <c r="AC874" s="55">
        <f t="shared" si="146"/>
        <v>0</v>
      </c>
    </row>
    <row r="875" spans="1:29">
      <c r="A875" t="s">
        <v>187</v>
      </c>
      <c r="B875" s="16" t="str">
        <f>INDEX(emprunts!C:C,MATCH($A875,emprunts!A:A,0))</f>
        <v>Dexia CL</v>
      </c>
      <c r="C875" s="18">
        <f>INDEX(emprunts!M:M,MATCH($A875,emprunts!$A:$A,0))</f>
        <v>38534</v>
      </c>
      <c r="D875" s="18">
        <f>IF(INDEX(emprunts!O:O,MATCH($A875,emprunts!$A:$A,0))="",INDEX(emprunts!N:N,MATCH($A875,emprunts!$A:$A,0)),MIN(INDEX(emprunts!N:N,MATCH($A875,emprunts!$A:$A,0)),INDEX(emprunts!O:O,MATCH($A875,emprunts!$A:$A,0))))</f>
        <v>38899</v>
      </c>
      <c r="E875" s="52">
        <f>INDEX(emprunts!I:I,MATCH($A875,emprunts!$A:$A,0))</f>
        <v>16</v>
      </c>
      <c r="F875" s="18" t="str">
        <f>INDEX(emprunts!P:P,MATCH($A875,emprunts!$A:$A,0))</f>
        <v>Pente</v>
      </c>
      <c r="G875" s="126" t="str">
        <f>IF(LEFT(A875,3)="vx_","vx",INDEX(Categorie,MATCH($A875,emprunts!$A$2:$A$149,0)))</f>
        <v>Struct</v>
      </c>
      <c r="H875">
        <v>2014</v>
      </c>
      <c r="I875">
        <f t="shared" si="153"/>
        <v>1</v>
      </c>
      <c r="N875"/>
      <c r="O875" s="58"/>
      <c r="Q875" s="58"/>
      <c r="R875" s="58"/>
      <c r="S875" s="58"/>
      <c r="T875" s="58"/>
      <c r="U875" s="58"/>
      <c r="V875" s="14" t="str">
        <f t="shared" si="151"/>
        <v/>
      </c>
      <c r="W875" s="77"/>
      <c r="X875" s="85">
        <f t="shared" si="154"/>
        <v>0</v>
      </c>
      <c r="Y875" s="21" t="str">
        <f t="shared" si="152"/>
        <v/>
      </c>
      <c r="AA875" s="55">
        <f t="shared" si="149"/>
        <v>0</v>
      </c>
      <c r="AB875" s="55">
        <f t="shared" si="150"/>
        <v>0</v>
      </c>
      <c r="AC875" s="55">
        <f t="shared" si="146"/>
        <v>0</v>
      </c>
    </row>
    <row r="876" spans="1:29">
      <c r="A876" t="s">
        <v>193</v>
      </c>
      <c r="B876" s="16" t="str">
        <f>INDEX(emprunts!C:C,MATCH($A876,emprunts!A:A,0))</f>
        <v>Dexia CL</v>
      </c>
      <c r="C876" s="18">
        <f>INDEX(emprunts!M:M,MATCH($A876,emprunts!$A:$A,0))</f>
        <v>38687</v>
      </c>
      <c r="D876" s="18">
        <f>IF(INDEX(emprunts!O:O,MATCH($A876,emprunts!$A:$A,0))="",INDEX(emprunts!N:N,MATCH($A876,emprunts!$A:$A,0)),MIN(INDEX(emprunts!N:N,MATCH($A876,emprunts!$A:$A,0)),INDEX(emprunts!O:O,MATCH($A876,emprunts!$A:$A,0))))</f>
        <v>38805</v>
      </c>
      <c r="E876" s="52">
        <f>INDEX(emprunts!I:I,MATCH($A876,emprunts!$A:$A,0))</f>
        <v>16</v>
      </c>
      <c r="F876" s="18" t="str">
        <f>INDEX(emprunts!P:P,MATCH($A876,emprunts!$A:$A,0))</f>
        <v>Pente</v>
      </c>
      <c r="G876" s="126" t="str">
        <f>IF(LEFT(A876,3)="vx_","vx",INDEX(Categorie,MATCH($A876,emprunts!$A$2:$A$149,0)))</f>
        <v>Struct</v>
      </c>
      <c r="H876">
        <v>2014</v>
      </c>
      <c r="I876">
        <f t="shared" si="153"/>
        <v>1</v>
      </c>
      <c r="N876"/>
      <c r="O876" s="58"/>
      <c r="Q876" s="58"/>
      <c r="R876" s="58"/>
      <c r="S876" s="58"/>
      <c r="T876" s="58"/>
      <c r="U876" s="58"/>
      <c r="V876" s="14" t="str">
        <f t="shared" si="151"/>
        <v/>
      </c>
      <c r="W876" s="77"/>
      <c r="X876" s="85">
        <f t="shared" si="154"/>
        <v>0</v>
      </c>
      <c r="Y876" s="21" t="str">
        <f t="shared" si="152"/>
        <v/>
      </c>
      <c r="AA876" s="55">
        <f t="shared" si="149"/>
        <v>0</v>
      </c>
      <c r="AB876" s="55">
        <f t="shared" si="150"/>
        <v>0</v>
      </c>
      <c r="AC876" s="55">
        <f t="shared" si="146"/>
        <v>0</v>
      </c>
    </row>
    <row r="877" spans="1:29">
      <c r="A877" t="s">
        <v>195</v>
      </c>
      <c r="B877" s="16" t="str">
        <f>INDEX(emprunts!C:C,MATCH($A877,emprunts!A:A,0))</f>
        <v>Dexia CL</v>
      </c>
      <c r="C877" s="18">
        <f>INDEX(emprunts!M:M,MATCH($A877,emprunts!$A:$A,0))</f>
        <v>38709</v>
      </c>
      <c r="D877" s="18">
        <f>IF(INDEX(emprunts!O:O,MATCH($A877,emprunts!$A:$A,0))="",INDEX(emprunts!N:N,MATCH($A877,emprunts!$A:$A,0)),MIN(INDEX(emprunts!N:N,MATCH($A877,emprunts!$A:$A,0)),INDEX(emprunts!O:O,MATCH($A877,emprunts!$A:$A,0))))</f>
        <v>39203</v>
      </c>
      <c r="E877" s="52">
        <f>INDEX(emprunts!I:I,MATCH($A877,emprunts!$A:$A,0))</f>
        <v>18.170000000000002</v>
      </c>
      <c r="F877" s="18" t="str">
        <f>INDEX(emprunts!P:P,MATCH($A877,emprunts!$A:$A,0))</f>
        <v>Pente</v>
      </c>
      <c r="G877" s="126" t="str">
        <f>IF(LEFT(A877,3)="vx_","vx",INDEX(Categorie,MATCH($A877,emprunts!$A$2:$A$149,0)))</f>
        <v>Struct</v>
      </c>
      <c r="H877">
        <v>2014</v>
      </c>
      <c r="I877">
        <f t="shared" si="153"/>
        <v>1</v>
      </c>
      <c r="N877"/>
      <c r="O877" s="58"/>
      <c r="Q877" s="58"/>
      <c r="R877" s="58"/>
      <c r="S877" s="58"/>
      <c r="T877" s="58"/>
      <c r="U877" s="58"/>
      <c r="V877" s="14" t="str">
        <f t="shared" si="151"/>
        <v/>
      </c>
      <c r="W877" s="77"/>
      <c r="X877" s="85">
        <f t="shared" si="154"/>
        <v>0</v>
      </c>
      <c r="Y877" s="21" t="str">
        <f t="shared" si="152"/>
        <v/>
      </c>
      <c r="AA877" s="55">
        <f t="shared" si="149"/>
        <v>0</v>
      </c>
      <c r="AB877" s="55">
        <f t="shared" si="150"/>
        <v>0</v>
      </c>
      <c r="AC877" s="55">
        <f t="shared" si="146"/>
        <v>0</v>
      </c>
    </row>
    <row r="878" spans="1:29">
      <c r="A878" t="s">
        <v>204</v>
      </c>
      <c r="B878" s="16" t="str">
        <f>INDEX(emprunts!C:C,MATCH($A878,emprunts!A:A,0))</f>
        <v>Crédit Agricole</v>
      </c>
      <c r="C878" s="18">
        <f>INDEX(emprunts!M:M,MATCH($A878,emprunts!$A:$A,0))</f>
        <v>38782</v>
      </c>
      <c r="D878" s="18">
        <f>IF(INDEX(emprunts!O:O,MATCH($A878,emprunts!$A:$A,0))="",INDEX(emprunts!N:N,MATCH($A878,emprunts!$A:$A,0)),MIN(INDEX(emprunts!N:N,MATCH($A878,emprunts!$A:$A,0)),INDEX(emprunts!O:O,MATCH($A878,emprunts!$A:$A,0))))</f>
        <v>44257</v>
      </c>
      <c r="E878" s="52">
        <f>INDEX(emprunts!I:I,MATCH($A878,emprunts!$A:$A,0))</f>
        <v>15</v>
      </c>
      <c r="F878" s="18" t="str">
        <f>INDEX(emprunts!P:P,MATCH($A878,emprunts!$A:$A,0))</f>
        <v>Barrière</v>
      </c>
      <c r="G878" s="126" t="str">
        <f>IF(LEFT(A878,3)="vx_","vx",INDEX(Categorie,MATCH($A878,emprunts!$A$2:$A$149,0)))</f>
        <v>Struct</v>
      </c>
      <c r="H878">
        <v>2014</v>
      </c>
      <c r="I878">
        <f t="shared" si="153"/>
        <v>1</v>
      </c>
      <c r="N878"/>
      <c r="O878" s="58"/>
      <c r="Q878" s="58"/>
      <c r="R878" s="58"/>
      <c r="S878" s="58"/>
      <c r="T878" s="58"/>
      <c r="U878" s="58"/>
      <c r="V878" s="14" t="str">
        <f t="shared" si="151"/>
        <v/>
      </c>
      <c r="W878" s="77"/>
      <c r="X878" s="85">
        <f t="shared" si="154"/>
        <v>0</v>
      </c>
      <c r="Y878" s="21" t="str">
        <f t="shared" si="152"/>
        <v/>
      </c>
      <c r="AA878" s="55">
        <f t="shared" si="149"/>
        <v>0</v>
      </c>
      <c r="AB878" s="55">
        <f t="shared" si="150"/>
        <v>0</v>
      </c>
      <c r="AC878" s="55">
        <f t="shared" ref="AC878:AC935" si="155">MAX(0,(C878-DATE(H878,1,1))/365)*0+MAX(0,MIN(1,(MIN(DATE(H878,12,31),D878)-MAX(DATE(H878,1,1),C878))/365))*(O878+X878+R878/2)</f>
        <v>0</v>
      </c>
    </row>
    <row r="879" spans="1:29">
      <c r="A879" t="s">
        <v>207</v>
      </c>
      <c r="B879" s="16" t="str">
        <f>INDEX(emprunts!C:C,MATCH($A879,emprunts!A:A,0))</f>
        <v>Crédit Agricole</v>
      </c>
      <c r="C879" s="18">
        <f>INDEX(emprunts!M:M,MATCH($A879,emprunts!$A:$A,0))</f>
        <v>38782</v>
      </c>
      <c r="D879" s="18">
        <f>IF(INDEX(emprunts!O:O,MATCH($A879,emprunts!$A:$A,0))="",INDEX(emprunts!N:N,MATCH($A879,emprunts!$A:$A,0)),MIN(INDEX(emprunts!N:N,MATCH($A879,emprunts!$A:$A,0)),INDEX(emprunts!O:O,MATCH($A879,emprunts!$A:$A,0))))</f>
        <v>44261</v>
      </c>
      <c r="E879" s="52">
        <f>INDEX(emprunts!I:I,MATCH($A879,emprunts!$A:$A,0))</f>
        <v>15</v>
      </c>
      <c r="F879" s="18" t="str">
        <f>INDEX(emprunts!P:P,MATCH($A879,emprunts!$A:$A,0))</f>
        <v>Fixe</v>
      </c>
      <c r="G879" s="126" t="str">
        <f>IF(LEFT(A879,3)="vx_","vx",INDEX(Categorie,MATCH($A879,emprunts!$A$2:$A$149,0)))</f>
        <v>Non_st</v>
      </c>
      <c r="H879">
        <v>2014</v>
      </c>
      <c r="I879">
        <f t="shared" si="153"/>
        <v>1</v>
      </c>
      <c r="N879"/>
      <c r="O879" s="58">
        <v>2665234</v>
      </c>
      <c r="P879" s="4">
        <v>3.6200000000000003E-2</v>
      </c>
      <c r="Q879" s="58">
        <v>204959.94</v>
      </c>
      <c r="R879" s="58">
        <v>329431.59000000003</v>
      </c>
      <c r="S879" s="58">
        <v>-108406.91</v>
      </c>
      <c r="T879" s="58">
        <v>79299.850000000006</v>
      </c>
      <c r="U879" s="58">
        <f>SUM(Q879:S879)</f>
        <v>425984.62</v>
      </c>
      <c r="V879" s="14">
        <f t="shared" si="151"/>
        <v>0</v>
      </c>
      <c r="W879" s="77"/>
      <c r="X879" s="85">
        <f t="shared" si="154"/>
        <v>0</v>
      </c>
      <c r="Y879" s="21">
        <f t="shared" si="152"/>
        <v>3.0738933223628199E-2</v>
      </c>
      <c r="AA879" s="55">
        <f t="shared" si="149"/>
        <v>86751.310000000027</v>
      </c>
      <c r="AB879" s="55">
        <f t="shared" si="150"/>
        <v>-0.41000000014901161</v>
      </c>
      <c r="AC879" s="55">
        <f t="shared" si="155"/>
        <v>2822196.5078904107</v>
      </c>
    </row>
    <row r="880" spans="1:29">
      <c r="A880" t="s">
        <v>211</v>
      </c>
      <c r="B880" s="16" t="str">
        <f>INDEX(emprunts!C:C,MATCH($A880,emprunts!A:A,0))</f>
        <v>Dexia CL</v>
      </c>
      <c r="C880" s="18">
        <f>INDEX(emprunts!M:M,MATCH($A880,emprunts!$A:$A,0))</f>
        <v>38899</v>
      </c>
      <c r="D880" s="18">
        <f>IF(INDEX(emprunts!O:O,MATCH($A880,emprunts!$A:$A,0))="",INDEX(emprunts!N:N,MATCH($A880,emprunts!$A:$A,0)),MIN(INDEX(emprunts!N:N,MATCH($A880,emprunts!$A:$A,0)),INDEX(emprunts!O:O,MATCH($A880,emprunts!$A:$A,0))))</f>
        <v>40737</v>
      </c>
      <c r="E880" s="52">
        <f>INDEX(emprunts!I:I,MATCH($A880,emprunts!$A:$A,0))</f>
        <v>20</v>
      </c>
      <c r="F880" s="18" t="str">
        <f>INDEX(emprunts!P:P,MATCH($A880,emprunts!$A:$A,0))</f>
        <v>Change</v>
      </c>
      <c r="G880" s="126" t="str">
        <f>IF(LEFT(A880,3)="vx_","vx",INDEX(Categorie,MATCH($A880,emprunts!$A$2:$A$149,0)))</f>
        <v>Struct</v>
      </c>
      <c r="H880">
        <v>2014</v>
      </c>
      <c r="I880">
        <f t="shared" si="153"/>
        <v>1</v>
      </c>
      <c r="N880"/>
      <c r="O880" s="58"/>
      <c r="Q880" s="58"/>
      <c r="R880" s="58"/>
      <c r="S880" s="58"/>
      <c r="T880" s="58"/>
      <c r="U880" s="58"/>
      <c r="V880" s="14" t="str">
        <f t="shared" si="151"/>
        <v/>
      </c>
      <c r="W880" s="77"/>
      <c r="X880" s="85">
        <f t="shared" si="154"/>
        <v>0</v>
      </c>
      <c r="Y880" s="21" t="str">
        <f t="shared" si="152"/>
        <v/>
      </c>
      <c r="AA880" s="55">
        <f t="shared" si="149"/>
        <v>0</v>
      </c>
      <c r="AB880" s="55">
        <f t="shared" si="150"/>
        <v>0</v>
      </c>
      <c r="AC880" s="55">
        <f t="shared" si="155"/>
        <v>0</v>
      </c>
    </row>
    <row r="881" spans="1:29">
      <c r="A881" t="s">
        <v>215</v>
      </c>
      <c r="B881" s="16" t="str">
        <f>INDEX(emprunts!C:C,MATCH($A881,emprunts!A:A,0))</f>
        <v>Dexia CL</v>
      </c>
      <c r="C881" s="18">
        <f>INDEX(emprunts!M:M,MATCH($A881,emprunts!$A:$A,0))</f>
        <v>38991</v>
      </c>
      <c r="D881" s="18">
        <f>IF(INDEX(emprunts!O:O,MATCH($A881,emprunts!$A:$A,0))="",INDEX(emprunts!N:N,MATCH($A881,emprunts!$A:$A,0)),MIN(INDEX(emprunts!N:N,MATCH($A881,emprunts!$A:$A,0)),INDEX(emprunts!O:O,MATCH($A881,emprunts!$A:$A,0))))</f>
        <v>40087</v>
      </c>
      <c r="E881" s="52">
        <f>INDEX(emprunts!I:I,MATCH($A881,emprunts!$A:$A,0))</f>
        <v>19</v>
      </c>
      <c r="F881" s="18" t="str">
        <f>INDEX(emprunts!P:P,MATCH($A881,emprunts!$A:$A,0))</f>
        <v>Change</v>
      </c>
      <c r="G881" s="126" t="str">
        <f>IF(LEFT(A881,3)="vx_","vx",INDEX(Categorie,MATCH($A881,emprunts!$A$2:$A$149,0)))</f>
        <v>Struct</v>
      </c>
      <c r="H881">
        <v>2014</v>
      </c>
      <c r="I881">
        <f t="shared" si="153"/>
        <v>1</v>
      </c>
      <c r="N881"/>
      <c r="O881" s="58"/>
      <c r="Q881" s="58"/>
      <c r="R881" s="58"/>
      <c r="S881" s="58"/>
      <c r="T881" s="58"/>
      <c r="U881" s="58"/>
      <c r="V881" s="14" t="str">
        <f t="shared" si="151"/>
        <v/>
      </c>
      <c r="W881" s="77"/>
      <c r="X881" s="85">
        <f t="shared" si="154"/>
        <v>0</v>
      </c>
      <c r="Y881" s="21" t="str">
        <f t="shared" si="152"/>
        <v/>
      </c>
      <c r="AA881" s="55">
        <f t="shared" si="149"/>
        <v>0</v>
      </c>
      <c r="AB881" s="55">
        <f t="shared" si="150"/>
        <v>0</v>
      </c>
      <c r="AC881" s="55">
        <f t="shared" si="155"/>
        <v>0</v>
      </c>
    </row>
    <row r="882" spans="1:29">
      <c r="A882" t="s">
        <v>217</v>
      </c>
      <c r="B882" s="16" t="str">
        <f>INDEX(emprunts!C:C,MATCH($A882,emprunts!A:A,0))</f>
        <v>Dexia CL</v>
      </c>
      <c r="C882" s="18">
        <f>INDEX(emprunts!M:M,MATCH($A882,emprunts!$A:$A,0))</f>
        <v>38991</v>
      </c>
      <c r="D882" s="18">
        <f>IF(INDEX(emprunts!O:O,MATCH($A882,emprunts!$A:$A,0))="",INDEX(emprunts!N:N,MATCH($A882,emprunts!$A:$A,0)),MIN(INDEX(emprunts!N:N,MATCH($A882,emprunts!$A:$A,0)),INDEX(emprunts!O:O,MATCH($A882,emprunts!$A:$A,0))))</f>
        <v>39783</v>
      </c>
      <c r="E882" s="52">
        <f>INDEX(emprunts!I:I,MATCH($A882,emprunts!$A:$A,0))</f>
        <v>19.170000000000002</v>
      </c>
      <c r="F882" s="18" t="str">
        <f>INDEX(emprunts!P:P,MATCH($A882,emprunts!$A:$A,0))</f>
        <v>Change</v>
      </c>
      <c r="G882" s="126" t="str">
        <f>IF(LEFT(A882,3)="vx_","vx",INDEX(Categorie,MATCH($A882,emprunts!$A$2:$A$149,0)))</f>
        <v>Struct</v>
      </c>
      <c r="H882">
        <v>2014</v>
      </c>
      <c r="I882">
        <f t="shared" si="153"/>
        <v>1</v>
      </c>
      <c r="N882"/>
      <c r="O882" s="58"/>
      <c r="Q882" s="58"/>
      <c r="R882" s="58"/>
      <c r="S882" s="58"/>
      <c r="T882" s="58"/>
      <c r="U882" s="58"/>
      <c r="V882" s="14" t="str">
        <f t="shared" si="151"/>
        <v/>
      </c>
      <c r="W882" s="77"/>
      <c r="X882" s="85">
        <f t="shared" si="154"/>
        <v>0</v>
      </c>
      <c r="Y882" s="21" t="str">
        <f t="shared" si="152"/>
        <v/>
      </c>
      <c r="AA882" s="55">
        <f t="shared" si="149"/>
        <v>0</v>
      </c>
      <c r="AB882" s="55">
        <f t="shared" si="150"/>
        <v>0</v>
      </c>
      <c r="AC882" s="55">
        <f t="shared" si="155"/>
        <v>0</v>
      </c>
    </row>
    <row r="883" spans="1:29">
      <c r="A883" t="s">
        <v>222</v>
      </c>
      <c r="B883" s="16" t="str">
        <f>INDEX(emprunts!C:C,MATCH($A883,emprunts!A:A,0))</f>
        <v>Dexia CL</v>
      </c>
      <c r="C883" s="18">
        <f>INDEX(emprunts!M:M,MATCH($A883,emprunts!$A:$A,0))</f>
        <v>39114</v>
      </c>
      <c r="D883" s="18">
        <f>IF(INDEX(emprunts!O:O,MATCH($A883,emprunts!$A:$A,0))="",INDEX(emprunts!N:N,MATCH($A883,emprunts!$A:$A,0)),MIN(INDEX(emprunts!N:N,MATCH($A883,emprunts!$A:$A,0)),INDEX(emprunts!O:O,MATCH($A883,emprunts!$A:$A,0))))</f>
        <v>39668</v>
      </c>
      <c r="E883" s="52">
        <f>INDEX(emprunts!I:I,MATCH($A883,emprunts!$A:$A,0))</f>
        <v>18.75</v>
      </c>
      <c r="F883" s="18" t="str">
        <f>INDEX(emprunts!P:P,MATCH($A883,emprunts!$A:$A,0))</f>
        <v>Change</v>
      </c>
      <c r="G883" s="126" t="str">
        <f>IF(LEFT(A883,3)="vx_","vx",INDEX(Categorie,MATCH($A883,emprunts!$A$2:$A$149,0)))</f>
        <v>Struct</v>
      </c>
      <c r="H883">
        <v>2014</v>
      </c>
      <c r="I883">
        <f t="shared" si="153"/>
        <v>1</v>
      </c>
      <c r="N883"/>
      <c r="O883" s="58"/>
      <c r="Q883" s="58"/>
      <c r="R883" s="58"/>
      <c r="S883" s="58"/>
      <c r="T883" s="58"/>
      <c r="U883" s="58"/>
      <c r="V883" s="14" t="str">
        <f t="shared" si="151"/>
        <v/>
      </c>
      <c r="W883" s="77"/>
      <c r="X883" s="85">
        <f t="shared" si="154"/>
        <v>0</v>
      </c>
      <c r="Y883" s="21" t="str">
        <f t="shared" si="152"/>
        <v/>
      </c>
      <c r="AA883" s="55">
        <f t="shared" si="149"/>
        <v>0</v>
      </c>
      <c r="AB883" s="55">
        <f t="shared" si="150"/>
        <v>0</v>
      </c>
      <c r="AC883" s="55">
        <f t="shared" si="155"/>
        <v>0</v>
      </c>
    </row>
    <row r="884" spans="1:29">
      <c r="A884" t="s">
        <v>223</v>
      </c>
      <c r="B884" s="16" t="str">
        <f>INDEX(emprunts!C:C,MATCH($A884,emprunts!A:A,0))</f>
        <v>Crédit Agricole</v>
      </c>
      <c r="C884" s="18">
        <f>INDEX(emprunts!M:M,MATCH($A884,emprunts!$A:$A,0))</f>
        <v>39182</v>
      </c>
      <c r="D884" s="18">
        <f>IF(INDEX(emprunts!O:O,MATCH($A884,emprunts!$A:$A,0))="",INDEX(emprunts!N:N,MATCH($A884,emprunts!$A:$A,0)),MIN(INDEX(emprunts!N:N,MATCH($A884,emprunts!$A:$A,0)),INDEX(emprunts!O:O,MATCH($A884,emprunts!$A:$A,0))))</f>
        <v>46813</v>
      </c>
      <c r="E884" s="52">
        <f>INDEX(emprunts!I:I,MATCH($A884,emprunts!$A:$A,0))</f>
        <v>20</v>
      </c>
      <c r="F884" s="18" t="str">
        <f>INDEX(emprunts!P:P,MATCH($A884,emprunts!$A:$A,0))</f>
        <v>Pente</v>
      </c>
      <c r="G884" s="126" t="str">
        <f>IF(LEFT(A884,3)="vx_","vx",INDEX(Categorie,MATCH($A884,emprunts!$A$2:$A$149,0)))</f>
        <v>Struct</v>
      </c>
      <c r="H884">
        <v>2014</v>
      </c>
      <c r="I884">
        <f t="shared" si="153"/>
        <v>1</v>
      </c>
      <c r="N884"/>
      <c r="O884" s="58">
        <v>3762542</v>
      </c>
      <c r="P884" s="4">
        <v>3.5400000000000001E-2</v>
      </c>
      <c r="Q884" s="58">
        <v>137746.48000000001</v>
      </c>
      <c r="R884" s="58">
        <v>206612.06</v>
      </c>
      <c r="S884" s="58"/>
      <c r="T884" s="58">
        <v>10974.08</v>
      </c>
      <c r="U884" s="58">
        <f>SUM(Q884:S884)</f>
        <v>344358.54000000004</v>
      </c>
      <c r="V884" s="14">
        <f t="shared" si="151"/>
        <v>0</v>
      </c>
      <c r="W884" s="77"/>
      <c r="X884" s="85">
        <f t="shared" si="154"/>
        <v>0</v>
      </c>
      <c r="Y884" s="21">
        <f t="shared" si="152"/>
        <v>3.5673305808536011E-2</v>
      </c>
      <c r="AA884" s="55">
        <f t="shared" si="149"/>
        <v>137529.75</v>
      </c>
      <c r="AB884" s="55">
        <f t="shared" si="150"/>
        <v>6.0000000055879354E-2</v>
      </c>
      <c r="AC884" s="55">
        <f t="shared" si="155"/>
        <v>3855256.6655342462</v>
      </c>
    </row>
    <row r="885" spans="1:29">
      <c r="A885" t="s">
        <v>227</v>
      </c>
      <c r="B885" s="16" t="str">
        <f>INDEX(emprunts!C:C,MATCH($A885,emprunts!A:A,0))</f>
        <v>Dexia CL</v>
      </c>
      <c r="C885" s="18">
        <f>INDEX(emprunts!M:M,MATCH($A885,emprunts!$A:$A,0))</f>
        <v>39203</v>
      </c>
      <c r="D885" s="18">
        <f>IF(INDEX(emprunts!O:O,MATCH($A885,emprunts!$A:$A,0))="",INDEX(emprunts!N:N,MATCH($A885,emprunts!$A:$A,0)),MIN(INDEX(emprunts!N:N,MATCH($A885,emprunts!$A:$A,0)),INDEX(emprunts!O:O,MATCH($A885,emprunts!$A:$A,0))))</f>
        <v>40176</v>
      </c>
      <c r="E885" s="52">
        <f>INDEX(emprunts!I:I,MATCH($A885,emprunts!$A:$A,0))</f>
        <v>17</v>
      </c>
      <c r="F885" s="18" t="str">
        <f>INDEX(emprunts!P:P,MATCH($A885,emprunts!$A:$A,0))</f>
        <v>Courbes</v>
      </c>
      <c r="G885" s="126" t="str">
        <f>IF(LEFT(A885,3)="vx_","vx",INDEX(Categorie,MATCH($A885,emprunts!$A$2:$A$149,0)))</f>
        <v>Struct</v>
      </c>
      <c r="H885">
        <v>2014</v>
      </c>
      <c r="I885">
        <f t="shared" si="153"/>
        <v>1</v>
      </c>
      <c r="N885"/>
      <c r="O885" s="58"/>
      <c r="Q885" s="58"/>
      <c r="R885" s="58"/>
      <c r="S885" s="58"/>
      <c r="T885" s="58"/>
      <c r="U885" s="58"/>
      <c r="V885" s="14" t="str">
        <f t="shared" si="151"/>
        <v/>
      </c>
      <c r="W885" s="77"/>
      <c r="X885" s="85">
        <f t="shared" si="154"/>
        <v>0</v>
      </c>
      <c r="Y885" s="21" t="str">
        <f t="shared" si="152"/>
        <v/>
      </c>
      <c r="AA885" s="55">
        <f t="shared" si="149"/>
        <v>0</v>
      </c>
      <c r="AB885" s="55">
        <f t="shared" si="150"/>
        <v>0</v>
      </c>
      <c r="AC885" s="55">
        <f t="shared" si="155"/>
        <v>0</v>
      </c>
    </row>
    <row r="886" spans="1:29">
      <c r="A886" t="s">
        <v>231</v>
      </c>
      <c r="B886" s="16" t="str">
        <f>INDEX(emprunts!C:C,MATCH($A886,emprunts!A:A,0))</f>
        <v>Dexia CL</v>
      </c>
      <c r="C886" s="18">
        <f>INDEX(emprunts!M:M,MATCH($A886,emprunts!$A:$A,0))</f>
        <v>39203</v>
      </c>
      <c r="D886" s="18">
        <f>IF(INDEX(emprunts!O:O,MATCH($A886,emprunts!$A:$A,0))="",INDEX(emprunts!N:N,MATCH($A886,emprunts!$A:$A,0)),MIN(INDEX(emprunts!N:N,MATCH($A886,emprunts!$A:$A,0)),INDEX(emprunts!O:O,MATCH($A886,emprunts!$A:$A,0))))</f>
        <v>40176</v>
      </c>
      <c r="E886" s="52">
        <f>INDEX(emprunts!I:I,MATCH($A886,emprunts!$A:$A,0))</f>
        <v>16.920000000000002</v>
      </c>
      <c r="F886" s="18" t="str">
        <f>INDEX(emprunts!P:P,MATCH($A886,emprunts!$A:$A,0))</f>
        <v>Écart d'inflation</v>
      </c>
      <c r="G886" s="126" t="str">
        <f>IF(LEFT(A886,3)="vx_","vx",INDEX(Categorie,MATCH($A886,emprunts!$A$2:$A$149,0)))</f>
        <v>Struct</v>
      </c>
      <c r="H886">
        <v>2014</v>
      </c>
      <c r="I886">
        <f t="shared" si="153"/>
        <v>1</v>
      </c>
      <c r="N886"/>
      <c r="O886" s="58"/>
      <c r="Q886" s="58"/>
      <c r="R886" s="58"/>
      <c r="S886" s="58"/>
      <c r="T886" s="58"/>
      <c r="U886" s="58"/>
      <c r="V886" s="14" t="str">
        <f t="shared" si="151"/>
        <v/>
      </c>
      <c r="W886" s="77"/>
      <c r="X886" s="85">
        <f t="shared" si="154"/>
        <v>0</v>
      </c>
      <c r="Y886" s="21" t="str">
        <f t="shared" si="152"/>
        <v/>
      </c>
      <c r="AA886" s="55">
        <f t="shared" si="149"/>
        <v>0</v>
      </c>
      <c r="AB886" s="55">
        <f t="shared" si="150"/>
        <v>0</v>
      </c>
      <c r="AC886" s="55">
        <f t="shared" si="155"/>
        <v>0</v>
      </c>
    </row>
    <row r="887" spans="1:29">
      <c r="A887" t="s">
        <v>233</v>
      </c>
      <c r="B887" s="16" t="str">
        <f>INDEX(emprunts!C:C,MATCH($A887,emprunts!A:A,0))</f>
        <v>Société Générale</v>
      </c>
      <c r="C887" s="18">
        <f>INDEX(emprunts!M:M,MATCH($A887,emprunts!$A:$A,0))</f>
        <v>39226</v>
      </c>
      <c r="D887" s="18">
        <f>IF(INDEX(emprunts!O:O,MATCH($A887,emprunts!$A:$A,0))="",INDEX(emprunts!N:N,MATCH($A887,emprunts!$A:$A,0)),MIN(INDEX(emprunts!N:N,MATCH($A887,emprunts!$A:$A,0)),INDEX(emprunts!O:O,MATCH($A887,emprunts!$A:$A,0))))</f>
        <v>39904</v>
      </c>
      <c r="E887" s="52">
        <f>INDEX(emprunts!I:I,MATCH($A887,emprunts!$A:$A,0))</f>
        <v>19</v>
      </c>
      <c r="F887" s="18" t="str">
        <f>INDEX(emprunts!P:P,MATCH($A887,emprunts!$A:$A,0))</f>
        <v>Change</v>
      </c>
      <c r="G887" s="126" t="str">
        <f>IF(LEFT(A887,3)="vx_","vx",INDEX(Categorie,MATCH($A887,emprunts!$A$2:$A$149,0)))</f>
        <v>Struct</v>
      </c>
      <c r="H887">
        <v>2014</v>
      </c>
      <c r="I887">
        <f t="shared" si="153"/>
        <v>1</v>
      </c>
      <c r="N887"/>
      <c r="O887" s="58"/>
      <c r="Q887" s="58"/>
      <c r="R887" s="58"/>
      <c r="S887" s="58"/>
      <c r="T887" s="58"/>
      <c r="U887" s="58"/>
      <c r="V887" s="14" t="str">
        <f t="shared" si="151"/>
        <v/>
      </c>
      <c r="W887" s="77"/>
      <c r="X887" s="85">
        <f t="shared" si="154"/>
        <v>0</v>
      </c>
      <c r="Y887" s="21" t="str">
        <f t="shared" si="152"/>
        <v/>
      </c>
      <c r="AA887" s="55">
        <f t="shared" si="149"/>
        <v>0</v>
      </c>
      <c r="AB887" s="55">
        <f t="shared" si="150"/>
        <v>0</v>
      </c>
      <c r="AC887" s="55">
        <f t="shared" si="155"/>
        <v>0</v>
      </c>
    </row>
    <row r="888" spans="1:29">
      <c r="A888" t="s">
        <v>235</v>
      </c>
      <c r="B888" s="16" t="str">
        <f>INDEX(emprunts!C:C,MATCH($A888,emprunts!A:A,0))</f>
        <v>Caisse d'Épargne</v>
      </c>
      <c r="C888" s="18">
        <f>INDEX(emprunts!M:M,MATCH($A888,emprunts!$A:$A,0))</f>
        <v>39288</v>
      </c>
      <c r="D888" s="18">
        <f>IF(INDEX(emprunts!O:O,MATCH($A888,emprunts!$A:$A,0))="",INDEX(emprunts!N:N,MATCH($A888,emprunts!$A:$A,0)),MIN(INDEX(emprunts!N:N,MATCH($A888,emprunts!$A:$A,0)),INDEX(emprunts!O:O,MATCH($A888,emprunts!$A:$A,0))))</f>
        <v>40964</v>
      </c>
      <c r="E888" s="52">
        <f>INDEX(emprunts!I:I,MATCH($A888,emprunts!$A:$A,0))</f>
        <v>18.579999999999998</v>
      </c>
      <c r="F888" s="18" t="str">
        <f>INDEX(emprunts!P:P,MATCH($A888,emprunts!$A:$A,0))</f>
        <v>Courbes</v>
      </c>
      <c r="G888" s="126" t="str">
        <f>IF(LEFT(A888,3)="vx_","vx",INDEX(Categorie,MATCH($A888,emprunts!$A$2:$A$149,0)))</f>
        <v>Struct</v>
      </c>
      <c r="H888">
        <v>2014</v>
      </c>
      <c r="I888">
        <f t="shared" si="153"/>
        <v>1</v>
      </c>
      <c r="N888"/>
      <c r="O888" s="58"/>
      <c r="Q888" s="58"/>
      <c r="R888" s="58"/>
      <c r="S888" s="58"/>
      <c r="T888" s="58"/>
      <c r="U888" s="58"/>
      <c r="V888" s="14" t="str">
        <f t="shared" si="151"/>
        <v/>
      </c>
      <c r="W888" s="77"/>
      <c r="X888" s="85">
        <f t="shared" si="154"/>
        <v>0</v>
      </c>
      <c r="Y888" s="21" t="str">
        <f t="shared" si="152"/>
        <v/>
      </c>
      <c r="AA888" s="55">
        <f t="shared" si="149"/>
        <v>0</v>
      </c>
      <c r="AB888" s="55">
        <f t="shared" si="150"/>
        <v>0</v>
      </c>
      <c r="AC888" s="55">
        <f t="shared" si="155"/>
        <v>0</v>
      </c>
    </row>
    <row r="889" spans="1:29">
      <c r="A889" t="s">
        <v>246</v>
      </c>
      <c r="B889" s="16" t="str">
        <f>INDEX(emprunts!C:C,MATCH($A889,emprunts!A:A,0))</f>
        <v>Dexia CL</v>
      </c>
      <c r="C889" s="18">
        <f>INDEX(emprunts!M:M,MATCH($A889,emprunts!$A:$A,0))</f>
        <v>39350</v>
      </c>
      <c r="D889" s="18">
        <f>IF(INDEX(emprunts!O:O,MATCH($A889,emprunts!$A:$A,0))="",INDEX(emprunts!N:N,MATCH($A889,emprunts!$A:$A,0)),MIN(INDEX(emprunts!N:N,MATCH($A889,emprunts!$A:$A,0)),INDEX(emprunts!O:O,MATCH($A889,emprunts!$A:$A,0))))</f>
        <v>40179</v>
      </c>
      <c r="E889" s="52">
        <f>INDEX(emprunts!I:I,MATCH($A889,emprunts!$A:$A,0))</f>
        <v>25.42</v>
      </c>
      <c r="F889" s="18" t="str">
        <f>INDEX(emprunts!P:P,MATCH($A889,emprunts!$A:$A,0))</f>
        <v>Barrière avec multiplicateur</v>
      </c>
      <c r="G889" s="126" t="str">
        <f>IF(LEFT(A889,3)="vx_","vx",INDEX(Categorie,MATCH($A889,emprunts!$A$2:$A$149,0)))</f>
        <v>Struct</v>
      </c>
      <c r="H889">
        <v>2014</v>
      </c>
      <c r="I889">
        <f t="shared" si="153"/>
        <v>1</v>
      </c>
      <c r="N889"/>
      <c r="O889" s="58"/>
      <c r="Q889" s="58"/>
      <c r="R889" s="58"/>
      <c r="S889" s="58"/>
      <c r="T889" s="58"/>
      <c r="U889" s="58"/>
      <c r="V889" s="14" t="str">
        <f t="shared" si="151"/>
        <v/>
      </c>
      <c r="W889" s="77"/>
      <c r="X889" s="85">
        <f t="shared" si="154"/>
        <v>0</v>
      </c>
      <c r="Y889" s="21" t="str">
        <f t="shared" si="152"/>
        <v/>
      </c>
      <c r="AA889" s="55">
        <f t="shared" si="149"/>
        <v>0</v>
      </c>
      <c r="AB889" s="55">
        <f t="shared" si="150"/>
        <v>0</v>
      </c>
      <c r="AC889" s="55">
        <f t="shared" si="155"/>
        <v>0</v>
      </c>
    </row>
    <row r="890" spans="1:29">
      <c r="A890" t="s">
        <v>250</v>
      </c>
      <c r="B890" s="16" t="str">
        <f>INDEX(emprunts!C:C,MATCH($A890,emprunts!A:A,0))</f>
        <v>Caisse d'Épargne</v>
      </c>
      <c r="C890" s="18">
        <f>INDEX(emprunts!M:M,MATCH($A890,emprunts!$A:$A,0))</f>
        <v>39447</v>
      </c>
      <c r="D890" s="18">
        <f>IF(INDEX(emprunts!O:O,MATCH($A890,emprunts!$A:$A,0))="",INDEX(emprunts!N:N,MATCH($A890,emprunts!$A:$A,0)),MIN(INDEX(emprunts!N:N,MATCH($A890,emprunts!$A:$A,0)),INDEX(emprunts!O:O,MATCH($A890,emprunts!$A:$A,0))))</f>
        <v>41330</v>
      </c>
      <c r="E890" s="52">
        <f>INDEX(emprunts!I:I,MATCH($A890,emprunts!$A:$A,0))</f>
        <v>20</v>
      </c>
      <c r="F890" s="18" t="str">
        <f>INDEX(emprunts!P:P,MATCH($A890,emprunts!$A:$A,0))</f>
        <v>Courbes</v>
      </c>
      <c r="G890" s="126" t="str">
        <f>IF(LEFT(A890,3)="vx_","vx",INDEX(Categorie,MATCH($A890,emprunts!$A$2:$A$149,0)))</f>
        <v>Struct</v>
      </c>
      <c r="H890">
        <v>2014</v>
      </c>
      <c r="I890">
        <f t="shared" si="153"/>
        <v>1</v>
      </c>
      <c r="N890"/>
      <c r="O890" s="58"/>
      <c r="Q890" s="58"/>
      <c r="R890" s="58"/>
      <c r="S890" s="58"/>
      <c r="T890" s="58"/>
      <c r="U890" s="58"/>
      <c r="V890" s="14" t="str">
        <f t="shared" si="151"/>
        <v/>
      </c>
      <c r="W890" s="77"/>
      <c r="X890" s="85">
        <f t="shared" si="154"/>
        <v>0</v>
      </c>
      <c r="Y890" s="21" t="str">
        <f t="shared" si="152"/>
        <v/>
      </c>
      <c r="AA890" s="55">
        <f t="shared" si="149"/>
        <v>0</v>
      </c>
      <c r="AB890" s="55">
        <f t="shared" si="150"/>
        <v>0</v>
      </c>
      <c r="AC890" s="55">
        <f t="shared" si="155"/>
        <v>0</v>
      </c>
    </row>
    <row r="891" spans="1:29">
      <c r="A891" t="s">
        <v>253</v>
      </c>
      <c r="B891" s="16" t="str">
        <f>INDEX(emprunts!C:C,MATCH($A891,emprunts!A:A,0))</f>
        <v>Dexia CL</v>
      </c>
      <c r="C891" s="18">
        <f>INDEX(emprunts!M:M,MATCH($A891,emprunts!$A:$A,0))</f>
        <v>40176</v>
      </c>
      <c r="D891" s="18">
        <f>IF(INDEX(emprunts!O:O,MATCH($A891,emprunts!$A:$A,0))="",INDEX(emprunts!N:N,MATCH($A891,emprunts!$A:$A,0)),MIN(INDEX(emprunts!N:N,MATCH($A891,emprunts!$A:$A,0)),INDEX(emprunts!O:O,MATCH($A891,emprunts!$A:$A,0))))</f>
        <v>40299</v>
      </c>
      <c r="E891" s="52">
        <f>INDEX(emprunts!I:I,MATCH($A891,emprunts!$A:$A,0))</f>
        <v>20.83</v>
      </c>
      <c r="F891" s="18" t="str">
        <f>INDEX(emprunts!P:P,MATCH($A891,emprunts!$A:$A,0))</f>
        <v>Courbes</v>
      </c>
      <c r="G891" s="126" t="str">
        <f>IF(LEFT(A891,3)="vx_","vx",INDEX(Categorie,MATCH($A891,emprunts!$A$2:$A$149,0)))</f>
        <v>Struct</v>
      </c>
      <c r="H891">
        <v>2014</v>
      </c>
      <c r="I891">
        <f t="shared" si="153"/>
        <v>1</v>
      </c>
      <c r="N891"/>
      <c r="O891" s="58"/>
      <c r="Q891" s="58"/>
      <c r="R891" s="58"/>
      <c r="S891" s="58"/>
      <c r="T891" s="58"/>
      <c r="U891" s="58"/>
      <c r="V891" s="14" t="str">
        <f t="shared" si="151"/>
        <v/>
      </c>
      <c r="W891" s="77"/>
      <c r="X891" s="85">
        <f t="shared" si="154"/>
        <v>0</v>
      </c>
      <c r="Y891" s="21" t="str">
        <f t="shared" si="152"/>
        <v/>
      </c>
      <c r="AA891" s="55">
        <f t="shared" ref="AA891:AA954" si="156">T891+Q891+S891-SUMPRODUCT(($A$123:$A$1367=$A891)*($H$123:$H$1367=$H891-1),$T$123:$T$1367)</f>
        <v>0</v>
      </c>
      <c r="AB891" s="55">
        <f t="shared" ref="AB891:AB954" si="157">IF(YEAR(C891)=H891,"",O891+R891+X891-W891-SUMPRODUCT(($A$123:$A$1367=$A891)*($H$123:$H$1367=$H891-1),$O$123:$O$1367))</f>
        <v>0</v>
      </c>
      <c r="AC891" s="55">
        <f t="shared" si="155"/>
        <v>0</v>
      </c>
    </row>
    <row r="892" spans="1:29">
      <c r="A892" t="s">
        <v>255</v>
      </c>
      <c r="B892" s="16" t="str">
        <f>INDEX(emprunts!C:C,MATCH($A892,emprunts!A:A,0))</f>
        <v>Dexia CL</v>
      </c>
      <c r="C892" s="18">
        <f>INDEX(emprunts!M:M,MATCH($A892,emprunts!$A:$A,0))</f>
        <v>39668</v>
      </c>
      <c r="D892" s="18">
        <f>IF(INDEX(emprunts!O:O,MATCH($A892,emprunts!$A:$A,0))="",INDEX(emprunts!N:N,MATCH($A892,emprunts!$A:$A,0)),MIN(INDEX(emprunts!N:N,MATCH($A892,emprunts!$A:$A,0)),INDEX(emprunts!O:O,MATCH($A892,emprunts!$A:$A,0))))</f>
        <v>40848</v>
      </c>
      <c r="E892" s="52">
        <f>INDEX(emprunts!I:I,MATCH($A892,emprunts!$A:$A,0))</f>
        <v>25.33</v>
      </c>
      <c r="F892" s="18" t="str">
        <f>INDEX(emprunts!P:P,MATCH($A892,emprunts!$A:$A,0))</f>
        <v>Change</v>
      </c>
      <c r="G892" s="126" t="str">
        <f>IF(LEFT(A892,3)="vx_","vx",INDEX(Categorie,MATCH($A892,emprunts!$A$2:$A$149,0)))</f>
        <v>Struct</v>
      </c>
      <c r="H892">
        <v>2014</v>
      </c>
      <c r="I892">
        <f t="shared" si="153"/>
        <v>1</v>
      </c>
      <c r="N892"/>
      <c r="O892" s="58"/>
      <c r="Q892" s="58"/>
      <c r="R892" s="58"/>
      <c r="S892" s="58"/>
      <c r="T892" s="58"/>
      <c r="U892" s="58"/>
      <c r="V892" s="14" t="str">
        <f t="shared" si="151"/>
        <v/>
      </c>
      <c r="W892" s="77"/>
      <c r="X892" s="85">
        <f t="shared" si="154"/>
        <v>0</v>
      </c>
      <c r="Y892" s="21" t="str">
        <f t="shared" si="152"/>
        <v/>
      </c>
      <c r="AA892" s="55">
        <f t="shared" si="156"/>
        <v>0</v>
      </c>
      <c r="AB892" s="55">
        <f t="shared" si="157"/>
        <v>0</v>
      </c>
      <c r="AC892" s="55">
        <f t="shared" si="155"/>
        <v>0</v>
      </c>
    </row>
    <row r="893" spans="1:29">
      <c r="A893" t="s">
        <v>256</v>
      </c>
      <c r="B893" s="16" t="str">
        <f>INDEX(emprunts!C:C,MATCH($A893,emprunts!A:A,0))</f>
        <v>Dexia CL</v>
      </c>
      <c r="C893" s="18">
        <f>INDEX(emprunts!M:M,MATCH($A893,emprunts!$A:$A,0))</f>
        <v>39668</v>
      </c>
      <c r="D893" s="18">
        <f>IF(INDEX(emprunts!O:O,MATCH($A893,emprunts!$A:$A,0))="",INDEX(emprunts!N:N,MATCH($A893,emprunts!$A:$A,0)),MIN(INDEX(emprunts!N:N,MATCH($A893,emprunts!$A:$A,0)),INDEX(emprunts!O:O,MATCH($A893,emprunts!$A:$A,0))))</f>
        <v>41214</v>
      </c>
      <c r="E893" s="52">
        <f>INDEX(emprunts!I:I,MATCH($A893,emprunts!$A:$A,0))</f>
        <v>25.33</v>
      </c>
      <c r="F893" s="18" t="str">
        <f>INDEX(emprunts!P:P,MATCH($A893,emprunts!$A:$A,0))</f>
        <v>Change</v>
      </c>
      <c r="G893" s="126" t="str">
        <f>IF(LEFT(A893,3)="vx_","vx",INDEX(Categorie,MATCH($A893,emprunts!$A$2:$A$149,0)))</f>
        <v>Struct</v>
      </c>
      <c r="H893">
        <v>2014</v>
      </c>
      <c r="I893">
        <f t="shared" si="153"/>
        <v>1</v>
      </c>
      <c r="N893"/>
      <c r="O893" s="58"/>
      <c r="Q893" s="58"/>
      <c r="R893" s="58"/>
      <c r="S893" s="58"/>
      <c r="T893" s="58"/>
      <c r="U893" s="58"/>
      <c r="V893" s="14" t="str">
        <f t="shared" si="151"/>
        <v/>
      </c>
      <c r="W893" s="77"/>
      <c r="X893" s="85">
        <f t="shared" si="154"/>
        <v>0</v>
      </c>
      <c r="Y893" s="21" t="str">
        <f t="shared" si="152"/>
        <v/>
      </c>
      <c r="AA893" s="55">
        <f t="shared" si="156"/>
        <v>0</v>
      </c>
      <c r="AB893" s="55">
        <f t="shared" si="157"/>
        <v>0</v>
      </c>
      <c r="AC893" s="55">
        <f t="shared" si="155"/>
        <v>0</v>
      </c>
    </row>
    <row r="894" spans="1:29">
      <c r="A894" t="s">
        <v>257</v>
      </c>
      <c r="B894" s="16" t="str">
        <f>INDEX(emprunts!C:C,MATCH($A894,emprunts!A:A,0))</f>
        <v>Dexia CL</v>
      </c>
      <c r="C894" s="18">
        <f>INDEX(emprunts!M:M,MATCH($A894,emprunts!$A:$A,0))</f>
        <v>41214</v>
      </c>
      <c r="D894" s="18">
        <f>IF(INDEX(emprunts!O:O,MATCH($A894,emprunts!$A:$A,0))="",INDEX(emprunts!N:N,MATCH($A894,emprunts!$A:$A,0)),MIN(INDEX(emprunts!N:N,MATCH($A894,emprunts!$A:$A,0)),INDEX(emprunts!O:O,MATCH($A894,emprunts!$A:$A,0))))</f>
        <v>43040</v>
      </c>
      <c r="E894" s="52">
        <f>INDEX(emprunts!I:I,MATCH($A894,emprunts!$A:$A,0))</f>
        <v>25</v>
      </c>
      <c r="F894" s="18" t="str">
        <f>INDEX(emprunts!P:P,MATCH($A894,emprunts!$A:$A,0))</f>
        <v>Change</v>
      </c>
      <c r="G894" s="126" t="str">
        <f>IF(LEFT(A894,3)="vx_","vx",INDEX(Categorie,MATCH($A894,emprunts!$A$2:$A$149,0)))</f>
        <v>Struct</v>
      </c>
      <c r="H894">
        <v>2014</v>
      </c>
      <c r="I894">
        <f t="shared" si="153"/>
        <v>1</v>
      </c>
      <c r="N894"/>
      <c r="O894" s="58">
        <v>8288093</v>
      </c>
      <c r="P894" s="4">
        <v>2.9899999999999999E-2</v>
      </c>
      <c r="Q894" s="58">
        <v>256491.86</v>
      </c>
      <c r="R894" s="58">
        <v>258470.18</v>
      </c>
      <c r="S894" s="58"/>
      <c r="T894" s="58">
        <v>40887.93</v>
      </c>
      <c r="U894" s="58">
        <f>SUM(Q894:S894)</f>
        <v>514962.04</v>
      </c>
      <c r="V894" s="14">
        <f t="shared" si="151"/>
        <v>0</v>
      </c>
      <c r="W894" s="77"/>
      <c r="X894" s="85">
        <f t="shared" si="154"/>
        <v>0</v>
      </c>
      <c r="Y894" s="21">
        <f t="shared" si="152"/>
        <v>3.0403696060528618E-2</v>
      </c>
      <c r="AA894" s="55">
        <f t="shared" si="156"/>
        <v>255216.74</v>
      </c>
      <c r="AB894" s="55">
        <f t="shared" si="157"/>
        <v>0.17999999970197678</v>
      </c>
      <c r="AC894" s="55">
        <f t="shared" si="155"/>
        <v>8394266.9171506856</v>
      </c>
    </row>
    <row r="895" spans="1:29">
      <c r="A895" t="s">
        <v>261</v>
      </c>
      <c r="B895" s="16" t="str">
        <f>INDEX(emprunts!C:C,MATCH($A895,emprunts!A:A,0))</f>
        <v>Dexia CL</v>
      </c>
      <c r="C895" s="18">
        <f>INDEX(emprunts!M:M,MATCH($A895,emprunts!$A:$A,0))</f>
        <v>39783</v>
      </c>
      <c r="D895" s="18">
        <f>IF(INDEX(emprunts!O:O,MATCH($A895,emprunts!$A:$A,0))="",INDEX(emprunts!N:N,MATCH($A895,emprunts!$A:$A,0)),MIN(INDEX(emprunts!N:N,MATCH($A895,emprunts!$A:$A,0)),INDEX(emprunts!O:O,MATCH($A895,emprunts!$A:$A,0))))</f>
        <v>40513</v>
      </c>
      <c r="E895" s="52">
        <f>INDEX(emprunts!I:I,MATCH($A895,emprunts!$A:$A,0))</f>
        <v>17</v>
      </c>
      <c r="F895" s="18" t="str">
        <f>INDEX(emprunts!P:P,MATCH($A895,emprunts!$A:$A,0))</f>
        <v>Change</v>
      </c>
      <c r="G895" s="126" t="str">
        <f>IF(LEFT(A895,3)="vx_","vx",INDEX(Categorie,MATCH($A895,emprunts!$A$2:$A$149,0)))</f>
        <v>Struct</v>
      </c>
      <c r="H895">
        <v>2014</v>
      </c>
      <c r="I895">
        <f t="shared" si="153"/>
        <v>1</v>
      </c>
      <c r="N895"/>
      <c r="O895" s="58"/>
      <c r="Q895" s="58"/>
      <c r="R895" s="58"/>
      <c r="S895" s="58"/>
      <c r="T895" s="58"/>
      <c r="U895" s="58"/>
      <c r="V895" s="14" t="str">
        <f t="shared" si="151"/>
        <v/>
      </c>
      <c r="W895" s="77"/>
      <c r="X895" s="85">
        <f t="shared" si="154"/>
        <v>0</v>
      </c>
      <c r="Y895" s="21" t="str">
        <f t="shared" si="152"/>
        <v/>
      </c>
      <c r="AA895" s="55">
        <f t="shared" si="156"/>
        <v>0</v>
      </c>
      <c r="AB895" s="55">
        <f t="shared" si="157"/>
        <v>0</v>
      </c>
      <c r="AC895" s="55">
        <f t="shared" si="155"/>
        <v>0</v>
      </c>
    </row>
    <row r="896" spans="1:29">
      <c r="A896" t="s">
        <v>263</v>
      </c>
      <c r="B896" s="16" t="str">
        <f>INDEX(emprunts!C:C,MATCH($A896,emprunts!A:A,0))</f>
        <v>Dexia CL</v>
      </c>
      <c r="C896" s="18">
        <f>INDEX(emprunts!M:M,MATCH($A896,emprunts!$A:$A,0))</f>
        <v>39783</v>
      </c>
      <c r="D896" s="18">
        <f>IF(INDEX(emprunts!O:O,MATCH($A896,emprunts!$A:$A,0))="",INDEX(emprunts!N:N,MATCH($A896,emprunts!$A:$A,0)),MIN(INDEX(emprunts!N:N,MATCH($A896,emprunts!$A:$A,0)),INDEX(emprunts!O:O,MATCH($A896,emprunts!$A:$A,0))))</f>
        <v>41244</v>
      </c>
      <c r="E896" s="52">
        <f>INDEX(emprunts!I:I,MATCH($A896,emprunts!$A:$A,0))</f>
        <v>25</v>
      </c>
      <c r="F896" s="18" t="str">
        <f>INDEX(emprunts!P:P,MATCH($A896,emprunts!$A:$A,0))</f>
        <v>Pente</v>
      </c>
      <c r="G896" s="126" t="str">
        <f>IF(LEFT(A896,3)="vx_","vx",INDEX(Categorie,MATCH($A896,emprunts!$A$2:$A$149,0)))</f>
        <v>Struct</v>
      </c>
      <c r="H896">
        <v>2014</v>
      </c>
      <c r="I896">
        <f t="shared" si="153"/>
        <v>1</v>
      </c>
      <c r="N896"/>
      <c r="O896" s="58"/>
      <c r="Q896" s="58"/>
      <c r="R896" s="58"/>
      <c r="S896" s="58"/>
      <c r="T896" s="58"/>
      <c r="U896" s="58"/>
      <c r="V896" s="14" t="str">
        <f t="shared" si="151"/>
        <v/>
      </c>
      <c r="W896" s="77"/>
      <c r="X896" s="85">
        <f t="shared" si="154"/>
        <v>0</v>
      </c>
      <c r="Y896" s="21" t="str">
        <f t="shared" si="152"/>
        <v/>
      </c>
      <c r="AA896" s="55">
        <f t="shared" si="156"/>
        <v>0</v>
      </c>
      <c r="AB896" s="55">
        <f t="shared" si="157"/>
        <v>0</v>
      </c>
      <c r="AC896" s="55">
        <f t="shared" si="155"/>
        <v>0</v>
      </c>
    </row>
    <row r="897" spans="1:29">
      <c r="A897" t="s">
        <v>265</v>
      </c>
      <c r="B897" s="16" t="str">
        <f>INDEX(emprunts!C:C,MATCH($A897,emprunts!A:A,0))</f>
        <v>Dexia CL</v>
      </c>
      <c r="C897" s="18">
        <f>INDEX(emprunts!M:M,MATCH($A897,emprunts!$A:$A,0))</f>
        <v>39899</v>
      </c>
      <c r="D897" s="18">
        <f>IF(INDEX(emprunts!O:O,MATCH($A897,emprunts!$A:$A,0))="",INDEX(emprunts!N:N,MATCH($A897,emprunts!$A:$A,0)),MIN(INDEX(emprunts!N:N,MATCH($A897,emprunts!$A:$A,0)),INDEX(emprunts!O:O,MATCH($A897,emprunts!$A:$A,0))))</f>
        <v>47209</v>
      </c>
      <c r="E897" s="52">
        <f>INDEX(emprunts!I:I,MATCH($A897,emprunts!$A:$A,0))</f>
        <v>20</v>
      </c>
      <c r="F897" s="18" t="str">
        <f>INDEX(emprunts!P:P,MATCH($A897,emprunts!$A:$A,0))</f>
        <v>Fixe</v>
      </c>
      <c r="G897" s="126" t="str">
        <f>IF(LEFT(A897,3)="vx_","vx",INDEX(Categorie,MATCH($A897,emprunts!$A$2:$A$149,0)))</f>
        <v>Non_st</v>
      </c>
      <c r="H897">
        <v>2014</v>
      </c>
      <c r="I897">
        <f t="shared" si="153"/>
        <v>1</v>
      </c>
      <c r="N897"/>
      <c r="O897" s="58">
        <v>4841162</v>
      </c>
      <c r="P897" s="4">
        <v>4.53E-2</v>
      </c>
      <c r="Q897" s="58">
        <v>226525.54</v>
      </c>
      <c r="R897" s="58">
        <v>232350.45</v>
      </c>
      <c r="S897" s="58"/>
      <c r="T897" s="58">
        <v>54823.47</v>
      </c>
      <c r="U897" s="58">
        <f>SUM(Q897:S897)</f>
        <v>458875.99</v>
      </c>
      <c r="V897" s="14">
        <f t="shared" si="151"/>
        <v>0</v>
      </c>
      <c r="W897" s="77"/>
      <c r="X897" s="85">
        <f t="shared" si="154"/>
        <v>0</v>
      </c>
      <c r="Y897" s="21">
        <f t="shared" si="152"/>
        <v>4.5288303789090975E-2</v>
      </c>
      <c r="AA897" s="55">
        <f t="shared" si="156"/>
        <v>223894.30000000002</v>
      </c>
      <c r="AB897" s="55">
        <f t="shared" si="157"/>
        <v>-0.54999999981373549</v>
      </c>
      <c r="AC897" s="55">
        <f t="shared" si="155"/>
        <v>4943755.4791780822</v>
      </c>
    </row>
    <row r="898" spans="1:29">
      <c r="A898" t="s">
        <v>267</v>
      </c>
      <c r="B898" s="16" t="str">
        <f>INDEX(emprunts!C:C,MATCH($A898,emprunts!A:A,0))</f>
        <v>Société Générale</v>
      </c>
      <c r="C898" s="18">
        <f>INDEX(emprunts!M:M,MATCH($A898,emprunts!$A:$A,0))</f>
        <v>39904</v>
      </c>
      <c r="D898" s="18">
        <f>IF(INDEX(emprunts!O:O,MATCH($A898,emprunts!$A:$A,0))="",INDEX(emprunts!N:N,MATCH($A898,emprunts!$A:$A,0)),MIN(INDEX(emprunts!N:N,MATCH($A898,emprunts!$A:$A,0)),INDEX(emprunts!O:O,MATCH($A898,emprunts!$A:$A,0))))</f>
        <v>40452</v>
      </c>
      <c r="E898" s="52">
        <f>INDEX(emprunts!I:I,MATCH($A898,emprunts!$A:$A,0))</f>
        <v>18</v>
      </c>
      <c r="F898" s="18" t="str">
        <f>INDEX(emprunts!P:P,MATCH($A898,emprunts!$A:$A,0))</f>
        <v>Change</v>
      </c>
      <c r="G898" s="126" t="str">
        <f>IF(LEFT(A898,3)="vx_","vx",INDEX(Categorie,MATCH($A898,emprunts!$A$2:$A$149,0)))</f>
        <v>Struct</v>
      </c>
      <c r="H898">
        <v>2014</v>
      </c>
      <c r="I898">
        <f t="shared" si="153"/>
        <v>1</v>
      </c>
      <c r="N898"/>
      <c r="O898" s="58"/>
      <c r="Q898" s="58"/>
      <c r="R898" s="58"/>
      <c r="S898" s="58"/>
      <c r="T898" s="58"/>
      <c r="U898" s="58"/>
      <c r="V898" s="14" t="str">
        <f t="shared" si="151"/>
        <v/>
      </c>
      <c r="W898" s="77"/>
      <c r="X898" s="85">
        <f t="shared" si="154"/>
        <v>0</v>
      </c>
      <c r="Y898" s="21" t="str">
        <f t="shared" si="152"/>
        <v/>
      </c>
      <c r="AA898" s="55">
        <f t="shared" si="156"/>
        <v>0</v>
      </c>
      <c r="AB898" s="55">
        <f t="shared" si="157"/>
        <v>0</v>
      </c>
      <c r="AC898" s="55">
        <f t="shared" si="155"/>
        <v>0</v>
      </c>
    </row>
    <row r="899" spans="1:29">
      <c r="A899" t="s">
        <v>269</v>
      </c>
      <c r="B899" s="16" t="str">
        <f>INDEX(emprunts!C:C,MATCH($A899,emprunts!A:A,0))</f>
        <v>Dexia CL</v>
      </c>
      <c r="C899" s="18">
        <f>INDEX(emprunts!M:M,MATCH($A899,emprunts!$A:$A,0))</f>
        <v>40087</v>
      </c>
      <c r="D899" s="18">
        <f>IF(INDEX(emprunts!O:O,MATCH($A899,emprunts!$A:$A,0))="",INDEX(emprunts!N:N,MATCH($A899,emprunts!$A:$A,0)),MIN(INDEX(emprunts!N:N,MATCH($A899,emprunts!$A:$A,0)),INDEX(emprunts!O:O,MATCH($A899,emprunts!$A:$A,0))))</f>
        <v>40452</v>
      </c>
      <c r="E899" s="52">
        <f>INDEX(emprunts!I:I,MATCH($A899,emprunts!$A:$A,0))</f>
        <v>16</v>
      </c>
      <c r="F899" s="18" t="str">
        <f>INDEX(emprunts!P:P,MATCH($A899,emprunts!$A:$A,0))</f>
        <v>Change</v>
      </c>
      <c r="G899" s="126" t="str">
        <f>IF(LEFT(A899,3)="vx_","vx",INDEX(Categorie,MATCH($A899,emprunts!$A$2:$A$149,0)))</f>
        <v>Struct</v>
      </c>
      <c r="H899">
        <v>2014</v>
      </c>
      <c r="I899">
        <f t="shared" si="153"/>
        <v>1</v>
      </c>
      <c r="N899"/>
      <c r="O899" s="58"/>
      <c r="Q899" s="58"/>
      <c r="R899" s="58"/>
      <c r="S899" s="58"/>
      <c r="T899" s="58"/>
      <c r="U899" s="58"/>
      <c r="V899" s="14" t="str">
        <f t="shared" ref="V899:V962" si="158">IF(U899="","",U899-SUM(Q899:S899))</f>
        <v/>
      </c>
      <c r="W899" s="77"/>
      <c r="X899" s="85">
        <f t="shared" si="154"/>
        <v>0</v>
      </c>
      <c r="Y899" s="21" t="str">
        <f t="shared" si="152"/>
        <v/>
      </c>
      <c r="AA899" s="55">
        <f t="shared" si="156"/>
        <v>0</v>
      </c>
      <c r="AB899" s="55">
        <f t="shared" si="157"/>
        <v>0</v>
      </c>
      <c r="AC899" s="55">
        <f t="shared" si="155"/>
        <v>0</v>
      </c>
    </row>
    <row r="900" spans="1:29">
      <c r="A900" t="s">
        <v>270</v>
      </c>
      <c r="B900" s="16" t="str">
        <f>INDEX(emprunts!C:C,MATCH($A900,emprunts!A:A,0))</f>
        <v>Dexia CL</v>
      </c>
      <c r="C900" s="18">
        <f>INDEX(emprunts!M:M,MATCH($A900,emprunts!$A:$A,0))</f>
        <v>40118</v>
      </c>
      <c r="D900" s="18">
        <f>IF(INDEX(emprunts!O:O,MATCH($A900,emprunts!$A:$A,0))="",INDEX(emprunts!N:N,MATCH($A900,emprunts!$A:$A,0)),MIN(INDEX(emprunts!N:N,MATCH($A900,emprunts!$A:$A,0)),INDEX(emprunts!O:O,MATCH($A900,emprunts!$A:$A,0))))</f>
        <v>43040</v>
      </c>
      <c r="E900" s="52">
        <f>INDEX(emprunts!I:I,MATCH($A900,emprunts!$A:$A,0))</f>
        <v>23</v>
      </c>
      <c r="F900" s="18" t="str">
        <f>INDEX(emprunts!P:P,MATCH($A900,emprunts!$A:$A,0))</f>
        <v>Pente</v>
      </c>
      <c r="G900" s="126" t="str">
        <f>IF(LEFT(A900,3)="vx_","vx",INDEX(Categorie,MATCH($A900,emprunts!$A$2:$A$149,0)))</f>
        <v>Struct</v>
      </c>
      <c r="H900">
        <v>2014</v>
      </c>
      <c r="I900">
        <f t="shared" si="153"/>
        <v>1</v>
      </c>
      <c r="N900"/>
      <c r="O900" s="58">
        <v>11015179</v>
      </c>
      <c r="P900" s="4">
        <v>3.78E-2</v>
      </c>
      <c r="Q900" s="58">
        <v>433481.03</v>
      </c>
      <c r="R900" s="58">
        <v>416450.18</v>
      </c>
      <c r="S900" s="58"/>
      <c r="T900" s="58">
        <v>68661.279999999999</v>
      </c>
      <c r="U900" s="58">
        <f>SUM(Q900:S900)</f>
        <v>849931.21</v>
      </c>
      <c r="V900" s="14">
        <f t="shared" si="158"/>
        <v>0</v>
      </c>
      <c r="W900" s="77"/>
      <c r="X900" s="85">
        <f t="shared" si="154"/>
        <v>0</v>
      </c>
      <c r="Y900" s="21">
        <f t="shared" si="152"/>
        <v>3.8497134821783643E-2</v>
      </c>
      <c r="AA900" s="55">
        <f t="shared" si="156"/>
        <v>430885.15</v>
      </c>
      <c r="AB900" s="55">
        <f t="shared" si="157"/>
        <v>0.17999999970197678</v>
      </c>
      <c r="AC900" s="55">
        <f t="shared" si="155"/>
        <v>11192655.03769863</v>
      </c>
    </row>
    <row r="901" spans="1:29">
      <c r="A901" t="s">
        <v>272</v>
      </c>
      <c r="B901" s="16" t="str">
        <f>INDEX(emprunts!C:C,MATCH($A901,emprunts!A:A,0))</f>
        <v>Dexia CL</v>
      </c>
      <c r="C901" s="18">
        <f>INDEX(emprunts!M:M,MATCH($A901,emprunts!$A:$A,0))</f>
        <v>40133</v>
      </c>
      <c r="D901" s="18">
        <f>IF(INDEX(emprunts!O:O,MATCH($A901,emprunts!$A:$A,0))="",INDEX(emprunts!N:N,MATCH($A901,emprunts!$A:$A,0)),MIN(INDEX(emprunts!N:N,MATCH($A901,emprunts!$A:$A,0)),INDEX(emprunts!O:O,MATCH($A901,emprunts!$A:$A,0))))</f>
        <v>40878</v>
      </c>
      <c r="E901" s="52">
        <f>INDEX(emprunts!I:I,MATCH($A901,emprunts!$A:$A,0))</f>
        <v>25</v>
      </c>
      <c r="F901" s="18" t="str">
        <f>INDEX(emprunts!P:P,MATCH($A901,emprunts!$A:$A,0))</f>
        <v>Variable</v>
      </c>
      <c r="G901" s="126" t="str">
        <f>IF(LEFT(A901,3)="vx_","vx",INDEX(Categorie,MATCH($A901,emprunts!$A$2:$A$149,0)))</f>
        <v>Non_st</v>
      </c>
      <c r="H901">
        <v>2014</v>
      </c>
      <c r="I901">
        <f t="shared" si="153"/>
        <v>1</v>
      </c>
      <c r="N901"/>
      <c r="O901" s="58"/>
      <c r="Q901" s="58"/>
      <c r="R901" s="58"/>
      <c r="S901" s="58"/>
      <c r="T901" s="58"/>
      <c r="U901" s="58"/>
      <c r="V901" s="14" t="str">
        <f t="shared" si="158"/>
        <v/>
      </c>
      <c r="W901" s="77"/>
      <c r="X901" s="85">
        <f t="shared" si="154"/>
        <v>0</v>
      </c>
      <c r="Y901" s="21" t="str">
        <f t="shared" si="152"/>
        <v/>
      </c>
      <c r="AA901" s="55">
        <f t="shared" si="156"/>
        <v>0</v>
      </c>
      <c r="AB901" s="55">
        <f t="shared" si="157"/>
        <v>0</v>
      </c>
      <c r="AC901" s="55">
        <f t="shared" si="155"/>
        <v>0</v>
      </c>
    </row>
    <row r="902" spans="1:29" ht="30">
      <c r="A902" t="s">
        <v>274</v>
      </c>
      <c r="B902" s="16" t="str">
        <f>INDEX(emprunts!C:C,MATCH($A902,emprunts!A:A,0))</f>
        <v>Caisse d'Épargne</v>
      </c>
      <c r="C902" s="18">
        <f>INDEX(emprunts!M:M,MATCH($A902,emprunts!$A:$A,0))</f>
        <v>40142</v>
      </c>
      <c r="D902" s="18">
        <f>IF(INDEX(emprunts!O:O,MATCH($A902,emprunts!$A:$A,0))="",INDEX(emprunts!N:N,MATCH($A902,emprunts!$A:$A,0)),MIN(INDEX(emprunts!N:N,MATCH($A902,emprunts!$A:$A,0)),INDEX(emprunts!O:O,MATCH($A902,emprunts!$A:$A,0))))</f>
        <v>46351</v>
      </c>
      <c r="E902" s="52">
        <f>INDEX(emprunts!I:I,MATCH($A902,emprunts!$A:$A,0))</f>
        <v>17</v>
      </c>
      <c r="F902" s="18" t="str">
        <f>INDEX(emprunts!P:P,MATCH($A902,emprunts!$A:$A,0))</f>
        <v>Fixe</v>
      </c>
      <c r="G902" s="126" t="str">
        <f>IF(LEFT(A902,3)="vx_","vx",INDEX(Categorie,MATCH($A902,emprunts!$A$2:$A$149,0)))</f>
        <v>Restr_sec</v>
      </c>
      <c r="H902">
        <v>2014</v>
      </c>
      <c r="I902">
        <f t="shared" si="153"/>
        <v>1</v>
      </c>
      <c r="N902"/>
      <c r="O902" s="58">
        <v>3398016</v>
      </c>
      <c r="P902" s="4">
        <v>4.7500000000000001E-2</v>
      </c>
      <c r="Q902" s="58">
        <v>172639.18</v>
      </c>
      <c r="R902" s="58">
        <v>224840.17</v>
      </c>
      <c r="S902" s="58"/>
      <c r="T902" s="58">
        <v>15970.68</v>
      </c>
      <c r="U902" s="58">
        <f>SUM(Q902:S902)</f>
        <v>397479.35</v>
      </c>
      <c r="V902" s="14">
        <f t="shared" si="158"/>
        <v>0</v>
      </c>
      <c r="W902" s="77"/>
      <c r="X902" s="85">
        <f t="shared" si="154"/>
        <v>0</v>
      </c>
      <c r="Y902" s="21">
        <f t="shared" si="152"/>
        <v>4.9012090274874721E-2</v>
      </c>
      <c r="AA902" s="55">
        <f t="shared" si="156"/>
        <v>171582.43</v>
      </c>
      <c r="AB902" s="55">
        <f t="shared" si="157"/>
        <v>-0.83000000007450581</v>
      </c>
      <c r="AC902" s="55">
        <f t="shared" si="155"/>
        <v>3500818.4518904109</v>
      </c>
    </row>
    <row r="903" spans="1:29">
      <c r="A903" t="s">
        <v>276</v>
      </c>
      <c r="B903" s="16" t="str">
        <f>INDEX(emprunts!C:C,MATCH($A903,emprunts!A:A,0))</f>
        <v>Arkea</v>
      </c>
      <c r="C903" s="18">
        <f>INDEX(emprunts!M:M,MATCH($A903,emprunts!$A:$A,0))</f>
        <v>40168</v>
      </c>
      <c r="D903" s="18">
        <f>IF(INDEX(emprunts!O:O,MATCH($A903,emprunts!$A:$A,0))="",INDEX(emprunts!N:N,MATCH($A903,emprunts!$A:$A,0)),MIN(INDEX(emprunts!N:N,MATCH($A903,emprunts!$A:$A,0)),INDEX(emprunts!O:O,MATCH($A903,emprunts!$A:$A,0))))</f>
        <v>47786</v>
      </c>
      <c r="E903" s="52">
        <f>INDEX(emprunts!I:I,MATCH($A903,emprunts!$A:$A,0))</f>
        <v>20</v>
      </c>
      <c r="F903" s="18" t="str">
        <f>INDEX(emprunts!P:P,MATCH($A903,emprunts!$A:$A,0))</f>
        <v>Variable</v>
      </c>
      <c r="G903" s="126" t="str">
        <f>IF(LEFT(A903,3)="vx_","vx",INDEX(Categorie,MATCH($A903,emprunts!$A$2:$A$149,0)))</f>
        <v>Non_st</v>
      </c>
      <c r="H903">
        <v>2014</v>
      </c>
      <c r="I903">
        <f t="shared" si="153"/>
        <v>1</v>
      </c>
      <c r="N903"/>
      <c r="O903" s="58">
        <v>8223584</v>
      </c>
      <c r="P903" s="4">
        <v>6.8999999999999999E-3</v>
      </c>
      <c r="Q903" s="58">
        <v>60436</v>
      </c>
      <c r="R903" s="58">
        <v>453744.83</v>
      </c>
      <c r="S903" s="58"/>
      <c r="T903" s="58">
        <v>7336.35</v>
      </c>
      <c r="U903" s="58">
        <f>SUM(Q903:S903)</f>
        <v>514180.83</v>
      </c>
      <c r="V903" s="14">
        <f t="shared" si="158"/>
        <v>0</v>
      </c>
      <c r="W903" s="77"/>
      <c r="X903" s="85">
        <f t="shared" si="154"/>
        <v>0</v>
      </c>
      <c r="Y903" s="21">
        <f t="shared" si="152"/>
        <v>6.8751532758950535E-3</v>
      </c>
      <c r="AA903" s="55">
        <f t="shared" si="156"/>
        <v>57939.010000000009</v>
      </c>
      <c r="AB903" s="55">
        <f t="shared" si="157"/>
        <v>-0.16999999992549419</v>
      </c>
      <c r="AC903" s="55">
        <f t="shared" si="155"/>
        <v>8427304.4796164371</v>
      </c>
    </row>
    <row r="904" spans="1:29">
      <c r="A904" t="s">
        <v>284</v>
      </c>
      <c r="B904" s="16" t="str">
        <f>INDEX(emprunts!C:C,MATCH($A904,emprunts!A:A,0))</f>
        <v>Société Générale</v>
      </c>
      <c r="C904" s="18">
        <f>INDEX(emprunts!M:M,MATCH($A904,emprunts!$A:$A,0))</f>
        <v>40452</v>
      </c>
      <c r="D904" s="18">
        <f>IF(INDEX(emprunts!O:O,MATCH($A904,emprunts!$A:$A,0))="",INDEX(emprunts!N:N,MATCH($A904,emprunts!$A:$A,0)),MIN(INDEX(emprunts!N:N,MATCH($A904,emprunts!$A:$A,0)),INDEX(emprunts!O:O,MATCH($A904,emprunts!$A:$A,0))))</f>
        <v>41640</v>
      </c>
      <c r="E904" s="52">
        <f>INDEX(emprunts!I:I,MATCH($A904,emprunts!$A:$A,0))</f>
        <v>25</v>
      </c>
      <c r="F904" s="18" t="str">
        <f>INDEX(emprunts!P:P,MATCH($A904,emprunts!$A:$A,0))</f>
        <v>Barrière avec multiplicateur</v>
      </c>
      <c r="G904" s="126" t="str">
        <f>IF(LEFT(A904,3)="vx_","vx",INDEX(Categorie,MATCH($A904,emprunts!$A$2:$A$149,0)))</f>
        <v>Struct</v>
      </c>
      <c r="H904">
        <v>2014</v>
      </c>
      <c r="I904">
        <f t="shared" si="153"/>
        <v>1</v>
      </c>
      <c r="N904"/>
      <c r="O904" s="58">
        <v>0</v>
      </c>
      <c r="P904" s="4">
        <v>3.9899999999999998E-2</v>
      </c>
      <c r="Q904" s="58">
        <v>169107.07</v>
      </c>
      <c r="R904" s="58">
        <v>108562.29</v>
      </c>
      <c r="S904" s="58"/>
      <c r="T904" s="58">
        <v>0</v>
      </c>
      <c r="U904" s="58">
        <f>SUM(Q904:S904)</f>
        <v>277669.36</v>
      </c>
      <c r="V904" s="14">
        <f t="shared" si="158"/>
        <v>0</v>
      </c>
      <c r="W904" s="77"/>
      <c r="X904" s="85">
        <f t="shared" si="154"/>
        <v>4072000</v>
      </c>
      <c r="Y904" s="21" t="e">
        <f t="shared" si="152"/>
        <v>#DIV/0!</v>
      </c>
      <c r="AA904" s="55">
        <f t="shared" si="156"/>
        <v>2463.3099999999977</v>
      </c>
      <c r="AB904" s="55">
        <f t="shared" si="157"/>
        <v>348.29000000003725</v>
      </c>
      <c r="AC904" s="55">
        <f t="shared" si="155"/>
        <v>0</v>
      </c>
    </row>
    <row r="905" spans="1:29">
      <c r="A905" t="s">
        <v>286</v>
      </c>
      <c r="B905" s="16" t="str">
        <f>INDEX(emprunts!C:C,MATCH($A905,emprunts!A:A,0))</f>
        <v>Dexia CL</v>
      </c>
      <c r="C905" s="18">
        <f>INDEX(emprunts!M:M,MATCH($A905,emprunts!$A:$A,0))</f>
        <v>40179</v>
      </c>
      <c r="D905" s="18">
        <f>IF(INDEX(emprunts!O:O,MATCH($A905,emprunts!$A:$A,0))="",INDEX(emprunts!N:N,MATCH($A905,emprunts!$A:$A,0)),MIN(INDEX(emprunts!N:N,MATCH($A905,emprunts!$A:$A,0)),INDEX(emprunts!O:O,MATCH($A905,emprunts!$A:$A,0))))</f>
        <v>40848</v>
      </c>
      <c r="E905" s="52">
        <f>INDEX(emprunts!I:I,MATCH($A905,emprunts!$A:$A,0))</f>
        <v>23</v>
      </c>
      <c r="F905" s="18" t="str">
        <f>INDEX(emprunts!P:P,MATCH($A905,emprunts!$A:$A,0))</f>
        <v>Barrière avec multiplicateur</v>
      </c>
      <c r="G905" s="126" t="str">
        <f>IF(LEFT(A905,3)="vx_","vx",INDEX(Categorie,MATCH($A905,emprunts!$A$2:$A$149,0)))</f>
        <v>Struct</v>
      </c>
      <c r="H905">
        <v>2014</v>
      </c>
      <c r="I905">
        <f t="shared" si="153"/>
        <v>1</v>
      </c>
      <c r="N905"/>
      <c r="O905" s="58"/>
      <c r="Q905" s="58"/>
      <c r="R905" s="58"/>
      <c r="S905" s="58"/>
      <c r="T905" s="58"/>
      <c r="U905" s="58"/>
      <c r="V905" s="14" t="str">
        <f t="shared" si="158"/>
        <v/>
      </c>
      <c r="W905" s="77"/>
      <c r="X905" s="85">
        <f t="shared" si="154"/>
        <v>0</v>
      </c>
      <c r="Y905" s="21" t="str">
        <f t="shared" si="152"/>
        <v/>
      </c>
      <c r="AA905" s="55">
        <f t="shared" si="156"/>
        <v>0</v>
      </c>
      <c r="AB905" s="55">
        <f t="shared" si="157"/>
        <v>0</v>
      </c>
      <c r="AC905" s="55">
        <f t="shared" si="155"/>
        <v>0</v>
      </c>
    </row>
    <row r="906" spans="1:29">
      <c r="A906" t="s">
        <v>288</v>
      </c>
      <c r="B906" s="16" t="str">
        <f>INDEX(emprunts!C:C,MATCH($A906,emprunts!A:A,0))</f>
        <v>Société Générale</v>
      </c>
      <c r="C906" s="18">
        <f>INDEX(emprunts!M:M,MATCH($A906,emprunts!$A:$A,0))</f>
        <v>40452</v>
      </c>
      <c r="D906" s="18">
        <f>IF(INDEX(emprunts!O:O,MATCH($A906,emprunts!$A:$A,0))="",INDEX(emprunts!N:N,MATCH($A906,emprunts!$A:$A,0)),MIN(INDEX(emprunts!N:N,MATCH($A906,emprunts!$A:$A,0)),INDEX(emprunts!O:O,MATCH($A906,emprunts!$A:$A,0))))</f>
        <v>41730</v>
      </c>
      <c r="E906" s="52">
        <f>INDEX(emprunts!I:I,MATCH($A906,emprunts!$A:$A,0))</f>
        <v>25</v>
      </c>
      <c r="F906" s="18" t="str">
        <f>INDEX(emprunts!P:P,MATCH($A906,emprunts!$A:$A,0))</f>
        <v>Barrière avec multiplicateur</v>
      </c>
      <c r="G906" s="126" t="str">
        <f>IF(LEFT(A906,3)="vx_","vx",INDEX(Categorie,MATCH($A906,emprunts!$A$2:$A$149,0)))</f>
        <v>Struct</v>
      </c>
      <c r="H906">
        <v>2014</v>
      </c>
      <c r="I906">
        <f t="shared" si="153"/>
        <v>1</v>
      </c>
      <c r="N906"/>
      <c r="O906" s="58">
        <v>0</v>
      </c>
      <c r="P906" s="4">
        <v>3.9899999999999998E-2</v>
      </c>
      <c r="Q906" s="58">
        <v>140983.42000000001</v>
      </c>
      <c r="R906" s="58">
        <v>90507.64</v>
      </c>
      <c r="S906" s="58"/>
      <c r="T906" s="58">
        <v>0</v>
      </c>
      <c r="U906" s="58">
        <f>SUM(Q906:S906)</f>
        <v>231491.06</v>
      </c>
      <c r="V906" s="14">
        <f t="shared" si="158"/>
        <v>0</v>
      </c>
      <c r="W906" s="77"/>
      <c r="X906" s="85">
        <f t="shared" si="154"/>
        <v>3395000</v>
      </c>
      <c r="Y906" s="21">
        <f t="shared" ref="Y906:Y967" si="159">IF(AND(AA906&gt;0,YEAR(C906)&lt;=H906),AA906/AC906,"")</f>
        <v>4.1435866593510062E-2</v>
      </c>
      <c r="AA906" s="55">
        <f t="shared" si="156"/>
        <v>35149.290000000008</v>
      </c>
      <c r="AB906" s="55">
        <f t="shared" si="157"/>
        <v>491.64000000013039</v>
      </c>
      <c r="AC906" s="55">
        <f t="shared" si="155"/>
        <v>848281.76383561629</v>
      </c>
    </row>
    <row r="907" spans="1:29">
      <c r="A907" t="s">
        <v>289</v>
      </c>
      <c r="B907" s="16" t="str">
        <f>INDEX(emprunts!C:C,MATCH($A907,emprunts!A:A,0))</f>
        <v>Dexia CL</v>
      </c>
      <c r="C907" s="18">
        <f>INDEX(emprunts!M:M,MATCH($A907,emprunts!$A:$A,0))</f>
        <v>40299</v>
      </c>
      <c r="D907" s="18">
        <f>IF(INDEX(emprunts!O:O,MATCH($A907,emprunts!$A:$A,0))="",INDEX(emprunts!N:N,MATCH($A907,emprunts!$A:$A,0)),MIN(INDEX(emprunts!N:N,MATCH($A907,emprunts!$A:$A,0)),INDEX(emprunts!O:O,MATCH($A907,emprunts!$A:$A,0))))</f>
        <v>40737</v>
      </c>
      <c r="E907" s="52">
        <f>INDEX(emprunts!I:I,MATCH($A907,emprunts!$A:$A,0))</f>
        <v>19</v>
      </c>
      <c r="F907" s="18" t="str">
        <f>INDEX(emprunts!P:P,MATCH($A907,emprunts!$A:$A,0))</f>
        <v>Barrière avec multiplicateur</v>
      </c>
      <c r="G907" s="126" t="str">
        <f>IF(LEFT(A907,3)="vx_","vx",INDEX(Categorie,MATCH($A907,emprunts!$A$2:$A$149,0)))</f>
        <v>Struct</v>
      </c>
      <c r="H907">
        <v>2014</v>
      </c>
      <c r="I907">
        <f t="shared" si="153"/>
        <v>1</v>
      </c>
      <c r="N907"/>
      <c r="O907" s="58"/>
      <c r="Q907" s="58"/>
      <c r="R907" s="58"/>
      <c r="S907" s="58"/>
      <c r="T907" s="58"/>
      <c r="U907" s="58"/>
      <c r="V907" s="14" t="str">
        <f t="shared" si="158"/>
        <v/>
      </c>
      <c r="W907" s="77"/>
      <c r="X907" s="85">
        <f t="shared" si="154"/>
        <v>0</v>
      </c>
      <c r="Y907" s="21" t="str">
        <f t="shared" si="159"/>
        <v/>
      </c>
      <c r="AA907" s="55">
        <f t="shared" si="156"/>
        <v>0</v>
      </c>
      <c r="AB907" s="55">
        <f t="shared" si="157"/>
        <v>0</v>
      </c>
      <c r="AC907" s="55">
        <f t="shared" si="155"/>
        <v>0</v>
      </c>
    </row>
    <row r="908" spans="1:29">
      <c r="A908" t="s">
        <v>300</v>
      </c>
      <c r="B908" s="16" t="str">
        <f>INDEX(emprunts!C:C,MATCH($A908,emprunts!A:A,0))</f>
        <v>Dexia CL</v>
      </c>
      <c r="C908" s="18">
        <f>INDEX(emprunts!M:M,MATCH($A908,emprunts!$A:$A,0))</f>
        <v>40452</v>
      </c>
      <c r="D908" s="18">
        <f>IF(INDEX(emprunts!O:O,MATCH($A908,emprunts!$A:$A,0))="",INDEX(emprunts!N:N,MATCH($A908,emprunts!$A:$A,0)),MIN(INDEX(emprunts!N:N,MATCH($A908,emprunts!$A:$A,0)),INDEX(emprunts!O:O,MATCH($A908,emprunts!$A:$A,0))))</f>
        <v>40664</v>
      </c>
      <c r="E908" s="52">
        <f>INDEX(emprunts!I:I,MATCH($A908,emprunts!$A:$A,0))</f>
        <v>12</v>
      </c>
      <c r="F908" s="18" t="str">
        <f>INDEX(emprunts!P:P,MATCH($A908,emprunts!$A:$A,0))</f>
        <v>Change</v>
      </c>
      <c r="G908" s="126" t="str">
        <f>IF(LEFT(A908,3)="vx_","vx",INDEX(Categorie,MATCH($A908,emprunts!$A$2:$A$149,0)))</f>
        <v>Struct</v>
      </c>
      <c r="H908">
        <v>2014</v>
      </c>
      <c r="I908">
        <f t="shared" si="153"/>
        <v>1</v>
      </c>
      <c r="N908"/>
      <c r="O908" s="58"/>
      <c r="Q908" s="58"/>
      <c r="R908" s="58"/>
      <c r="S908" s="58"/>
      <c r="T908" s="58"/>
      <c r="U908" s="58"/>
      <c r="V908" s="14" t="str">
        <f t="shared" si="158"/>
        <v/>
      </c>
      <c r="W908" s="77"/>
      <c r="X908" s="85">
        <f t="shared" si="154"/>
        <v>0</v>
      </c>
      <c r="Y908" s="21" t="str">
        <f t="shared" si="159"/>
        <v/>
      </c>
      <c r="AA908" s="55">
        <f t="shared" si="156"/>
        <v>0</v>
      </c>
      <c r="AB908" s="55">
        <f t="shared" si="157"/>
        <v>0</v>
      </c>
      <c r="AC908" s="55">
        <f t="shared" si="155"/>
        <v>0</v>
      </c>
    </row>
    <row r="909" spans="1:29">
      <c r="A909" t="s">
        <v>302</v>
      </c>
      <c r="B909" s="16" t="str">
        <f>INDEX(emprunts!C:C,MATCH($A909,emprunts!A:A,0))</f>
        <v>Dexia CL</v>
      </c>
      <c r="C909" s="18">
        <f>INDEX(emprunts!M:M,MATCH($A909,emprunts!$A:$A,0))</f>
        <v>40384</v>
      </c>
      <c r="D909" s="18">
        <f>IF(INDEX(emprunts!O:O,MATCH($A909,emprunts!$A:$A,0))="",INDEX(emprunts!N:N,MATCH($A909,emprunts!$A:$A,0)),MIN(INDEX(emprunts!N:N,MATCH($A909,emprunts!$A:$A,0)),INDEX(emprunts!O:O,MATCH($A909,emprunts!$A:$A,0))))</f>
        <v>45901</v>
      </c>
      <c r="E909" s="52">
        <f>INDEX(emprunts!I:I,MATCH($A909,emprunts!$A:$A,0))</f>
        <v>15</v>
      </c>
      <c r="F909" s="18" t="str">
        <f>INDEX(emprunts!P:P,MATCH($A909,emprunts!$A:$A,0))</f>
        <v>Fixe</v>
      </c>
      <c r="G909" s="126" t="str">
        <f>IF(LEFT(A909,3)="vx_","vx",INDEX(Categorie,MATCH($A909,emprunts!$A$2:$A$149,0)))</f>
        <v>Non_st</v>
      </c>
      <c r="H909">
        <v>2014</v>
      </c>
      <c r="I909">
        <f t="shared" si="153"/>
        <v>1</v>
      </c>
      <c r="N909"/>
      <c r="O909" s="58">
        <v>561273</v>
      </c>
      <c r="P909" s="4">
        <v>2.1299999999999999E-2</v>
      </c>
      <c r="Q909" s="58">
        <v>12627.59</v>
      </c>
      <c r="R909" s="58">
        <v>45958.49</v>
      </c>
      <c r="S909" s="58"/>
      <c r="T909" s="58">
        <v>1000.94</v>
      </c>
      <c r="U909" s="58">
        <f>SUM(Q909:S909)</f>
        <v>58586.080000000002</v>
      </c>
      <c r="V909" s="14">
        <f t="shared" si="158"/>
        <v>0</v>
      </c>
      <c r="W909" s="77"/>
      <c r="X909" s="85">
        <f t="shared" si="154"/>
        <v>0</v>
      </c>
      <c r="Y909" s="21">
        <f t="shared" si="159"/>
        <v>2.1531960080844049E-2</v>
      </c>
      <c r="AA909" s="55">
        <f t="shared" si="156"/>
        <v>12545.630000000001</v>
      </c>
      <c r="AB909" s="55">
        <f t="shared" si="157"/>
        <v>-0.51000000000931323</v>
      </c>
      <c r="AC909" s="55">
        <f t="shared" si="155"/>
        <v>582651.55391780823</v>
      </c>
    </row>
    <row r="910" spans="1:29" ht="30">
      <c r="A910" t="s">
        <v>304</v>
      </c>
      <c r="B910" s="16" t="str">
        <f>INDEX(emprunts!C:C,MATCH($A910,emprunts!A:A,0))</f>
        <v>Société Générale</v>
      </c>
      <c r="C910" s="18">
        <f>INDEX(emprunts!M:M,MATCH($A910,emprunts!$A:$A,0))</f>
        <v>40422</v>
      </c>
      <c r="D910" s="18">
        <f>IF(INDEX(emprunts!O:O,MATCH($A910,emprunts!$A:$A,0))="",INDEX(emprunts!N:N,MATCH($A910,emprunts!$A:$A,0)),MIN(INDEX(emprunts!N:N,MATCH($A910,emprunts!$A:$A,0)),INDEX(emprunts!O:O,MATCH($A910,emprunts!$A:$A,0))))</f>
        <v>47818</v>
      </c>
      <c r="E910" s="52">
        <f>INDEX(emprunts!I:I,MATCH($A910,emprunts!$A:$A,0))</f>
        <v>20</v>
      </c>
      <c r="F910" s="18" t="str">
        <f>INDEX(emprunts!P:P,MATCH($A910,emprunts!$A:$A,0))</f>
        <v>Fixe</v>
      </c>
      <c r="G910" s="126" t="str">
        <f>IF(LEFT(A910,3)="vx_","vx",INDEX(Categorie,MATCH($A910,emprunts!$A$2:$A$149,0)))</f>
        <v>Restr_sec</v>
      </c>
      <c r="H910">
        <v>2014</v>
      </c>
      <c r="I910">
        <f t="shared" si="153"/>
        <v>1</v>
      </c>
      <c r="N910"/>
      <c r="O910" s="58">
        <v>1556972</v>
      </c>
      <c r="P910" s="4">
        <v>4.3799999999999999E-2</v>
      </c>
      <c r="Q910" s="58">
        <v>70418.91</v>
      </c>
      <c r="R910" s="58">
        <v>62679.13</v>
      </c>
      <c r="S910" s="58"/>
      <c r="T910" s="58">
        <v>5618.07</v>
      </c>
      <c r="U910" s="58">
        <f>SUM(Q910:S910)</f>
        <v>133098.04</v>
      </c>
      <c r="V910" s="14">
        <f t="shared" si="158"/>
        <v>0</v>
      </c>
      <c r="W910" s="77"/>
      <c r="X910" s="85">
        <f t="shared" si="154"/>
        <v>0</v>
      </c>
      <c r="Y910" s="21">
        <f t="shared" si="159"/>
        <v>4.4314716802935451E-2</v>
      </c>
      <c r="AA910" s="55">
        <f t="shared" si="156"/>
        <v>70192.740000000005</v>
      </c>
      <c r="AB910" s="55">
        <f t="shared" si="157"/>
        <v>-0.87000000011175871</v>
      </c>
      <c r="AC910" s="55">
        <f t="shared" si="155"/>
        <v>1583960.0264657533</v>
      </c>
    </row>
    <row r="911" spans="1:29">
      <c r="A911" t="s">
        <v>306</v>
      </c>
      <c r="B911" s="16" t="str">
        <f>INDEX(emprunts!C:C,MATCH($A911,emprunts!A:A,0))</f>
        <v>Dexia CL</v>
      </c>
      <c r="C911" s="18">
        <f>INDEX(emprunts!M:M,MATCH($A911,emprunts!$A:$A,0))</f>
        <v>40452</v>
      </c>
      <c r="D911" s="18">
        <f>IF(INDEX(emprunts!O:O,MATCH($A911,emprunts!$A:$A,0))="",INDEX(emprunts!N:N,MATCH($A911,emprunts!$A:$A,0)),MIN(INDEX(emprunts!N:N,MATCH($A911,emprunts!$A:$A,0)),INDEX(emprunts!O:O,MATCH($A911,emprunts!$A:$A,0))))</f>
        <v>41030</v>
      </c>
      <c r="E911" s="52">
        <f>INDEX(emprunts!I:I,MATCH($A911,emprunts!$A:$A,0))</f>
        <v>15</v>
      </c>
      <c r="F911" s="18" t="str">
        <f>INDEX(emprunts!P:P,MATCH($A911,emprunts!$A:$A,0))</f>
        <v>Change</v>
      </c>
      <c r="G911" s="126" t="str">
        <f>IF(LEFT(A911,3)="vx_","vx",INDEX(Categorie,MATCH($A911,emprunts!$A$2:$A$149,0)))</f>
        <v>Struct</v>
      </c>
      <c r="H911">
        <v>2014</v>
      </c>
      <c r="I911">
        <f t="shared" si="153"/>
        <v>1</v>
      </c>
      <c r="N911"/>
      <c r="O911" s="58"/>
      <c r="Q911" s="58"/>
      <c r="R911" s="58"/>
      <c r="S911" s="58"/>
      <c r="T911" s="58"/>
      <c r="U911" s="58"/>
      <c r="V911" s="14" t="str">
        <f t="shared" si="158"/>
        <v/>
      </c>
      <c r="W911" s="77"/>
      <c r="X911" s="85">
        <f t="shared" si="154"/>
        <v>0</v>
      </c>
      <c r="Y911" s="21" t="str">
        <f t="shared" si="159"/>
        <v/>
      </c>
      <c r="AA911" s="55">
        <f t="shared" si="156"/>
        <v>0</v>
      </c>
      <c r="AB911" s="55">
        <f t="shared" si="157"/>
        <v>0</v>
      </c>
      <c r="AC911" s="55">
        <f t="shared" si="155"/>
        <v>0</v>
      </c>
    </row>
    <row r="912" spans="1:29">
      <c r="A912" t="s">
        <v>311</v>
      </c>
      <c r="B912" s="16" t="str">
        <f>INDEX(emprunts!C:C,MATCH($A912,emprunts!A:A,0))</f>
        <v>Dexia CL</v>
      </c>
      <c r="C912" s="18">
        <f>INDEX(emprunts!M:M,MATCH($A912,emprunts!$A:$A,0))</f>
        <v>40513</v>
      </c>
      <c r="D912" s="18">
        <f>IF(INDEX(emprunts!O:O,MATCH($A912,emprunts!$A:$A,0))="",INDEX(emprunts!N:N,MATCH($A912,emprunts!$A:$A,0)),MIN(INDEX(emprunts!N:N,MATCH($A912,emprunts!$A:$A,0)),INDEX(emprunts!O:O,MATCH($A912,emprunts!$A:$A,0))))</f>
        <v>40878</v>
      </c>
      <c r="E912" s="52">
        <f>INDEX(emprunts!I:I,MATCH($A912,emprunts!$A:$A,0))</f>
        <v>17</v>
      </c>
      <c r="F912" s="18" t="str">
        <f>INDEX(emprunts!P:P,MATCH($A912,emprunts!$A:$A,0))</f>
        <v>Change</v>
      </c>
      <c r="G912" s="126" t="str">
        <f>IF(LEFT(A912,3)="vx_","vx",INDEX(Categorie,MATCH($A912,emprunts!$A$2:$A$149,0)))</f>
        <v>Struct</v>
      </c>
      <c r="H912">
        <v>2014</v>
      </c>
      <c r="I912">
        <f t="shared" si="153"/>
        <v>1</v>
      </c>
      <c r="N912"/>
      <c r="O912" s="58"/>
      <c r="Q912" s="58"/>
      <c r="R912" s="58"/>
      <c r="S912" s="58"/>
      <c r="T912" s="58"/>
      <c r="U912" s="58"/>
      <c r="V912" s="14" t="str">
        <f t="shared" si="158"/>
        <v/>
      </c>
      <c r="W912" s="77"/>
      <c r="X912" s="85">
        <f t="shared" si="154"/>
        <v>0</v>
      </c>
      <c r="Y912" s="21" t="str">
        <f t="shared" si="159"/>
        <v/>
      </c>
      <c r="AA912" s="55">
        <f t="shared" si="156"/>
        <v>0</v>
      </c>
      <c r="AB912" s="55">
        <f t="shared" si="157"/>
        <v>0</v>
      </c>
      <c r="AC912" s="55">
        <f t="shared" si="155"/>
        <v>0</v>
      </c>
    </row>
    <row r="913" spans="1:29" ht="30">
      <c r="A913" t="s">
        <v>313</v>
      </c>
      <c r="B913" s="16" t="str">
        <f>INDEX(emprunts!C:C,MATCH($A913,emprunts!A:A,0))</f>
        <v>Société Générale</v>
      </c>
      <c r="C913" s="18">
        <f>INDEX(emprunts!M:M,MATCH($A913,emprunts!$A:$A,0))</f>
        <v>40513</v>
      </c>
      <c r="D913" s="18">
        <f>IF(INDEX(emprunts!O:O,MATCH($A913,emprunts!$A:$A,0))="",INDEX(emprunts!N:N,MATCH($A913,emprunts!$A:$A,0)),MIN(INDEX(emprunts!N:N,MATCH($A913,emprunts!$A:$A,0)),INDEX(emprunts!O:O,MATCH($A913,emprunts!$A:$A,0))))</f>
        <v>47818</v>
      </c>
      <c r="E913" s="52">
        <f>INDEX(emprunts!I:I,MATCH($A913,emprunts!$A:$A,0))</f>
        <v>20</v>
      </c>
      <c r="F913" s="18" t="str">
        <f>INDEX(emprunts!P:P,MATCH($A913,emprunts!$A:$A,0))</f>
        <v>Fixe</v>
      </c>
      <c r="G913" s="126" t="str">
        <f>IF(LEFT(A913,3)="vx_","vx",INDEX(Categorie,MATCH($A913,emprunts!$A$2:$A$149,0)))</f>
        <v>Restr_sec</v>
      </c>
      <c r="H913">
        <v>2014</v>
      </c>
      <c r="I913">
        <f t="shared" si="153"/>
        <v>1</v>
      </c>
      <c r="N913"/>
      <c r="O913" s="58">
        <v>2236906</v>
      </c>
      <c r="P913" s="4">
        <v>4.3799999999999999E-2</v>
      </c>
      <c r="Q913" s="58">
        <v>102156.67</v>
      </c>
      <c r="R913" s="58">
        <v>90051.24</v>
      </c>
      <c r="S913" s="58"/>
      <c r="T913" s="58">
        <v>8071.5</v>
      </c>
      <c r="U913" s="58">
        <f t="shared" ref="U913:U921" si="160">SUM(Q913:S913)</f>
        <v>192207.91</v>
      </c>
      <c r="V913" s="14">
        <f t="shared" si="158"/>
        <v>0</v>
      </c>
      <c r="W913" s="77"/>
      <c r="X913" s="85">
        <f t="shared" si="154"/>
        <v>0</v>
      </c>
      <c r="Y913" s="21">
        <f t="shared" si="159"/>
        <v>4.4747829691759118E-2</v>
      </c>
      <c r="AA913" s="55">
        <f t="shared" si="156"/>
        <v>101831.73</v>
      </c>
      <c r="AB913" s="55">
        <f t="shared" si="157"/>
        <v>0.24000000022351742</v>
      </c>
      <c r="AC913" s="55">
        <f t="shared" si="155"/>
        <v>2275679.7525479454</v>
      </c>
    </row>
    <row r="914" spans="1:29">
      <c r="A914" t="s">
        <v>314</v>
      </c>
      <c r="B914" s="16" t="str">
        <f>INDEX(emprunts!C:C,MATCH($A914,emprunts!A:A,0))</f>
        <v>Société Générale</v>
      </c>
      <c r="C914" s="18">
        <f>INDEX(emprunts!M:M,MATCH($A914,emprunts!$A:$A,0))</f>
        <v>40530</v>
      </c>
      <c r="D914" s="18">
        <f>IF(INDEX(emprunts!O:O,MATCH($A914,emprunts!$A:$A,0))="",INDEX(emprunts!N:N,MATCH($A914,emprunts!$A:$A,0)),MIN(INDEX(emprunts!N:N,MATCH($A914,emprunts!$A:$A,0)),INDEX(emprunts!O:O,MATCH($A914,emprunts!$A:$A,0))))</f>
        <v>46112</v>
      </c>
      <c r="E914" s="52">
        <f>INDEX(emprunts!I:I,MATCH($A914,emprunts!$A:$A,0))</f>
        <v>15</v>
      </c>
      <c r="F914" s="18" t="str">
        <f>INDEX(emprunts!P:P,MATCH($A914,emprunts!$A:$A,0))</f>
        <v>Variable</v>
      </c>
      <c r="G914" s="126" t="str">
        <f>IF(LEFT(A914,3)="vx_","vx",INDEX(Categorie,MATCH($A914,emprunts!$A$2:$A$149,0)))</f>
        <v>Non_st</v>
      </c>
      <c r="H914">
        <v>2014</v>
      </c>
      <c r="I914">
        <f t="shared" si="153"/>
        <v>1</v>
      </c>
      <c r="N914"/>
      <c r="O914" s="58">
        <v>6525794</v>
      </c>
      <c r="P914" s="4">
        <v>1.11E-2</v>
      </c>
      <c r="Q914" s="58">
        <v>75125.7</v>
      </c>
      <c r="R914" s="58">
        <v>420690.63</v>
      </c>
      <c r="S914" s="58"/>
      <c r="T914" s="58">
        <v>0</v>
      </c>
      <c r="U914" s="58">
        <f t="shared" si="160"/>
        <v>495816.33</v>
      </c>
      <c r="V914" s="14">
        <f t="shared" si="158"/>
        <v>0</v>
      </c>
      <c r="W914" s="77"/>
      <c r="X914" s="85">
        <f t="shared" si="154"/>
        <v>0</v>
      </c>
      <c r="Y914" s="21">
        <f t="shared" si="159"/>
        <v>1.1183273647260409E-2</v>
      </c>
      <c r="AA914" s="55">
        <f t="shared" si="156"/>
        <v>75125.7</v>
      </c>
      <c r="AB914" s="55">
        <f t="shared" si="157"/>
        <v>0.62999999988824129</v>
      </c>
      <c r="AC914" s="55">
        <f t="shared" si="155"/>
        <v>6717684.1387945209</v>
      </c>
    </row>
    <row r="915" spans="1:29">
      <c r="A915" t="s">
        <v>317</v>
      </c>
      <c r="B915" s="16" t="str">
        <f>INDEX(emprunts!C:C,MATCH($A915,emprunts!A:A,0))</f>
        <v>Dexia CL</v>
      </c>
      <c r="C915" s="18">
        <f>INDEX(emprunts!M:M,MATCH($A915,emprunts!$A:$A,0))</f>
        <v>40634</v>
      </c>
      <c r="D915" s="18">
        <f>IF(INDEX(emprunts!O:O,MATCH($A915,emprunts!$A:$A,0))="",INDEX(emprunts!N:N,MATCH($A915,emprunts!$A:$A,0)),MIN(INDEX(emprunts!N:N,MATCH($A915,emprunts!$A:$A,0)),INDEX(emprunts!O:O,MATCH($A915,emprunts!$A:$A,0))))</f>
        <v>41760</v>
      </c>
      <c r="E915" s="52">
        <f>INDEX(emprunts!I:I,MATCH($A915,emprunts!$A:$A,0))</f>
        <v>25</v>
      </c>
      <c r="F915" s="18" t="str">
        <f>INDEX(emprunts!P:P,MATCH($A915,emprunts!$A:$A,0))</f>
        <v>Barrière avec multiplicateur</v>
      </c>
      <c r="G915" s="126" t="str">
        <f>IF(LEFT(A915,3)="vx_","vx",INDEX(Categorie,MATCH($A915,emprunts!$A$2:$A$149,0)))</f>
        <v>Struct</v>
      </c>
      <c r="H915">
        <v>2014</v>
      </c>
      <c r="I915">
        <f t="shared" ref="I915:I974" si="161">1*(C915&lt;DATE(H915,12,31))</f>
        <v>1</v>
      </c>
      <c r="N915"/>
      <c r="O915" s="58">
        <v>0</v>
      </c>
      <c r="P915" s="4">
        <v>9.7000000000000003E-3</v>
      </c>
      <c r="Q915" s="58">
        <v>126226.86</v>
      </c>
      <c r="R915" s="58">
        <v>297167.3</v>
      </c>
      <c r="S915" s="58"/>
      <c r="T915" s="58">
        <v>0</v>
      </c>
      <c r="U915" s="58">
        <f t="shared" si="160"/>
        <v>423394.16</v>
      </c>
      <c r="V915" s="14">
        <f t="shared" si="158"/>
        <v>0</v>
      </c>
      <c r="W915" s="77"/>
      <c r="X915" s="85">
        <f t="shared" ref="X915:X974" si="162">SUMPRODUCT((De=$A915)*(année_refi=$H915),Montant_transfere)</f>
        <v>12014000</v>
      </c>
      <c r="Y915" s="21">
        <f t="shared" si="159"/>
        <v>1.0072280160638405E-2</v>
      </c>
      <c r="AA915" s="55">
        <f t="shared" si="156"/>
        <v>40275.600000000006</v>
      </c>
      <c r="AB915" s="55">
        <f t="shared" si="157"/>
        <v>-615.69999999925494</v>
      </c>
      <c r="AC915" s="55">
        <f t="shared" si="155"/>
        <v>3998657.6383561641</v>
      </c>
    </row>
    <row r="916" spans="1:29">
      <c r="A916" s="1" t="s">
        <v>489</v>
      </c>
      <c r="B916" s="16" t="str">
        <f>INDEX(emprunts!C:C,MATCH($A916,emprunts!A:A,0))</f>
        <v>Dexia CL</v>
      </c>
      <c r="C916" s="18">
        <f>INDEX(emprunts!M:M,MATCH($A916,emprunts!$A:$A,0))</f>
        <v>40725</v>
      </c>
      <c r="D916" s="18">
        <f>IF(INDEX(emprunts!O:O,MATCH($A916,emprunts!$A:$A,0))="",INDEX(emprunts!N:N,MATCH($A916,emprunts!$A:$A,0)),MIN(INDEX(emprunts!N:N,MATCH($A916,emprunts!$A:$A,0)),INDEX(emprunts!O:O,MATCH($A916,emprunts!$A:$A,0))))</f>
        <v>49796</v>
      </c>
      <c r="E916" s="52">
        <f>INDEX(emprunts!I:I,MATCH($A916,emprunts!$A:$A,0))</f>
        <v>25</v>
      </c>
      <c r="F916" s="18" t="str">
        <f>INDEX(emprunts!P:P,MATCH($A916,emprunts!$A:$A,0))</f>
        <v>Barrière avec multiplicateur</v>
      </c>
      <c r="G916" s="126" t="str">
        <f>IF(LEFT(A916,3)="vx_","vx",INDEX(Categorie,MATCH($A916,emprunts!$A$2:$A$149,0)))</f>
        <v>Struct</v>
      </c>
      <c r="H916">
        <v>2014</v>
      </c>
      <c r="I916">
        <f t="shared" si="161"/>
        <v>1</v>
      </c>
      <c r="N916"/>
      <c r="O916" s="58">
        <v>13587368</v>
      </c>
      <c r="P916" s="4">
        <v>4.0300000000000002E-2</v>
      </c>
      <c r="Q916" s="58">
        <v>563260.96</v>
      </c>
      <c r="R916" s="58">
        <v>336067.48</v>
      </c>
      <c r="S916" s="58"/>
      <c r="T916" s="58">
        <v>367447.72</v>
      </c>
      <c r="U916" s="58">
        <f t="shared" si="160"/>
        <v>899328.44</v>
      </c>
      <c r="V916" s="14">
        <f t="shared" si="158"/>
        <v>0</v>
      </c>
      <c r="W916" s="77"/>
      <c r="X916" s="85">
        <f t="shared" si="162"/>
        <v>0</v>
      </c>
      <c r="Y916" s="21">
        <f t="shared" si="159"/>
        <v>4.0398314253112431E-2</v>
      </c>
      <c r="AA916" s="55">
        <f t="shared" si="156"/>
        <v>554172.58999999985</v>
      </c>
      <c r="AB916" s="55">
        <f t="shared" si="157"/>
        <v>630000.48000000045</v>
      </c>
      <c r="AC916" s="55">
        <f t="shared" si="155"/>
        <v>13717715.707835617</v>
      </c>
    </row>
    <row r="917" spans="1:29">
      <c r="A917" s="1" t="s">
        <v>487</v>
      </c>
      <c r="B917" s="16" t="str">
        <f>INDEX(emprunts!C:C,MATCH($A917,emprunts!A:A,0))</f>
        <v>Dexia CL</v>
      </c>
      <c r="C917" s="18">
        <f>INDEX(emprunts!M:M,MATCH($A917,emprunts!$A:$A,0))</f>
        <v>40737</v>
      </c>
      <c r="D917" s="18">
        <f>IF(INDEX(emprunts!O:O,MATCH($A917,emprunts!$A:$A,0))="",INDEX(emprunts!N:N,MATCH($A917,emprunts!$A:$A,0)),MIN(INDEX(emprunts!N:N,MATCH($A917,emprunts!$A:$A,0)),INDEX(emprunts!O:O,MATCH($A917,emprunts!$A:$A,0))))</f>
        <v>42644</v>
      </c>
      <c r="E917" s="52">
        <f>INDEX(emprunts!I:I,MATCH($A917,emprunts!$A:$A,0))</f>
        <v>15</v>
      </c>
      <c r="F917" s="18" t="str">
        <f>INDEX(emprunts!P:P,MATCH($A917,emprunts!$A:$A,0))</f>
        <v>Change</v>
      </c>
      <c r="G917" s="126" t="str">
        <f>IF(LEFT(A917,3)="vx_","vx",INDEX(Categorie,MATCH($A917,emprunts!$A$2:$A$149,0)))</f>
        <v>Struct</v>
      </c>
      <c r="H917">
        <v>2014</v>
      </c>
      <c r="I917">
        <f t="shared" si="161"/>
        <v>1</v>
      </c>
      <c r="N917" s="58"/>
      <c r="O917" s="58">
        <v>12008339</v>
      </c>
      <c r="P917" s="4">
        <v>3.9800000000000002E-2</v>
      </c>
      <c r="Q917" s="58">
        <v>508402</v>
      </c>
      <c r="R917" s="58">
        <v>718503.63</v>
      </c>
      <c r="S917" s="58"/>
      <c r="T917" s="58">
        <v>240507.01</v>
      </c>
      <c r="U917" s="58">
        <f t="shared" si="160"/>
        <v>1226905.6299999999</v>
      </c>
      <c r="V917" s="14">
        <f t="shared" si="158"/>
        <v>0</v>
      </c>
      <c r="W917" s="77"/>
      <c r="X917" s="85">
        <f t="shared" si="162"/>
        <v>0</v>
      </c>
      <c r="Y917" s="21">
        <f t="shared" si="159"/>
        <v>4.0053778626153329E-2</v>
      </c>
      <c r="AA917" s="55">
        <f t="shared" si="156"/>
        <v>494011.57</v>
      </c>
      <c r="AB917" s="55">
        <f t="shared" si="157"/>
        <v>0.63000000081956387</v>
      </c>
      <c r="AC917" s="55">
        <f t="shared" si="155"/>
        <v>12333707.004547944</v>
      </c>
    </row>
    <row r="918" spans="1:29">
      <c r="A918" t="s">
        <v>324</v>
      </c>
      <c r="B918" s="16" t="str">
        <f>INDEX(emprunts!C:C,MATCH($A918,emprunts!A:A,0))</f>
        <v>Caisse d'Épargne</v>
      </c>
      <c r="C918" s="18">
        <f>INDEX(emprunts!M:M,MATCH($A918,emprunts!$A:$A,0))</f>
        <v>40732</v>
      </c>
      <c r="D918" s="18">
        <f>IF(INDEX(emprunts!O:O,MATCH($A918,emprunts!$A:$A,0))="",INDEX(emprunts!N:N,MATCH($A918,emprunts!$A:$A,0)),MIN(INDEX(emprunts!N:N,MATCH($A918,emprunts!$A:$A,0)),INDEX(emprunts!O:O,MATCH($A918,emprunts!$A:$A,0))))</f>
        <v>46536</v>
      </c>
      <c r="E918" s="52">
        <f>INDEX(emprunts!I:I,MATCH($A918,emprunts!$A:$A,0))</f>
        <v>15</v>
      </c>
      <c r="F918" s="18" t="str">
        <f>INDEX(emprunts!P:P,MATCH($A918,emprunts!$A:$A,0))</f>
        <v>Variable</v>
      </c>
      <c r="G918" s="126" t="str">
        <f>IF(LEFT(A918,3)="vx_","vx",INDEX(Categorie,MATCH($A918,emprunts!$A$2:$A$149,0)))</f>
        <v>Non_st</v>
      </c>
      <c r="H918">
        <v>2014</v>
      </c>
      <c r="I918">
        <f t="shared" si="161"/>
        <v>1</v>
      </c>
      <c r="N918"/>
      <c r="O918" s="58">
        <v>4402669</v>
      </c>
      <c r="P918" s="4">
        <v>1.3899999999999999E-2</v>
      </c>
      <c r="Q918" s="58">
        <v>64400.56</v>
      </c>
      <c r="R918" s="58">
        <v>247871.08</v>
      </c>
      <c r="S918" s="58"/>
      <c r="T918" s="58">
        <v>4940.6400000000003</v>
      </c>
      <c r="U918" s="58">
        <f t="shared" si="160"/>
        <v>312271.64</v>
      </c>
      <c r="V918" s="14">
        <f t="shared" si="158"/>
        <v>0</v>
      </c>
      <c r="W918" s="77"/>
      <c r="X918" s="85">
        <f t="shared" si="162"/>
        <v>0</v>
      </c>
      <c r="Y918" s="21">
        <f t="shared" si="159"/>
        <v>1.4060079184480904E-2</v>
      </c>
      <c r="AA918" s="55">
        <f t="shared" si="156"/>
        <v>63470.049999999996</v>
      </c>
      <c r="AB918" s="55">
        <f t="shared" si="157"/>
        <v>8.0000000074505806E-2</v>
      </c>
      <c r="AC918" s="55">
        <f t="shared" si="155"/>
        <v>4514202.8837260278</v>
      </c>
    </row>
    <row r="919" spans="1:29">
      <c r="A919" t="s">
        <v>328</v>
      </c>
      <c r="B919" s="16" t="str">
        <f>INDEX(emprunts!C:C,MATCH($A919,emprunts!A:A,0))</f>
        <v>Caisse d'Épargne</v>
      </c>
      <c r="C919" s="18">
        <f>INDEX(emprunts!M:M,MATCH($A919,emprunts!$A:$A,0))</f>
        <v>40732</v>
      </c>
      <c r="D919" s="18">
        <f>IF(INDEX(emprunts!O:O,MATCH($A919,emprunts!$A:$A,0))="",INDEX(emprunts!N:N,MATCH($A919,emprunts!$A:$A,0)),MIN(INDEX(emprunts!N:N,MATCH($A919,emprunts!$A:$A,0)),INDEX(emprunts!O:O,MATCH($A919,emprunts!$A:$A,0))))</f>
        <v>46536</v>
      </c>
      <c r="E919" s="52">
        <f>INDEX(emprunts!I:I,MATCH($A919,emprunts!$A:$A,0))</f>
        <v>15</v>
      </c>
      <c r="F919" s="18" t="str">
        <f>INDEX(emprunts!P:P,MATCH($A919,emprunts!$A:$A,0))</f>
        <v>Variable</v>
      </c>
      <c r="G919" s="126" t="str">
        <f>IF(LEFT(A919,3)="vx_","vx",INDEX(Categorie,MATCH($A919,emprunts!$A$2:$A$149,0)))</f>
        <v>Non_st</v>
      </c>
      <c r="H919">
        <v>2014</v>
      </c>
      <c r="I919">
        <f t="shared" si="161"/>
        <v>1</v>
      </c>
      <c r="N919"/>
      <c r="O919" s="58">
        <v>4402669</v>
      </c>
      <c r="P919" s="4">
        <v>1.09E-2</v>
      </c>
      <c r="Q919" s="58">
        <v>50726.18</v>
      </c>
      <c r="R919" s="58">
        <v>247871.08</v>
      </c>
      <c r="S919" s="58"/>
      <c r="T919" s="58">
        <v>3782.68</v>
      </c>
      <c r="U919" s="58">
        <f t="shared" si="160"/>
        <v>298597.26</v>
      </c>
      <c r="V919" s="14">
        <f t="shared" si="158"/>
        <v>0</v>
      </c>
      <c r="W919" s="77"/>
      <c r="X919" s="85">
        <f t="shared" si="162"/>
        <v>0</v>
      </c>
      <c r="Y919" s="21">
        <f t="shared" si="159"/>
        <v>1.1045332096116333E-2</v>
      </c>
      <c r="AA919" s="55">
        <f t="shared" si="156"/>
        <v>49860.87</v>
      </c>
      <c r="AB919" s="55">
        <f t="shared" si="157"/>
        <v>8.0000000074505806E-2</v>
      </c>
      <c r="AC919" s="55">
        <f t="shared" si="155"/>
        <v>4514202.8837260278</v>
      </c>
    </row>
    <row r="920" spans="1:29">
      <c r="A920" t="s">
        <v>331</v>
      </c>
      <c r="B920" s="16" t="str">
        <f>INDEX(emprunts!C:C,MATCH($A920,emprunts!A:A,0))</f>
        <v>Dexia CL</v>
      </c>
      <c r="C920" s="18">
        <f>INDEX(emprunts!M:M,MATCH($A920,emprunts!$A:$A,0))</f>
        <v>40848</v>
      </c>
      <c r="D920" s="18">
        <f>IF(INDEX(emprunts!O:O,MATCH($A920,emprunts!$A:$A,0))="",INDEX(emprunts!N:N,MATCH($A920,emprunts!$A:$A,0)),MIN(INDEX(emprunts!N:N,MATCH($A920,emprunts!$A:$A,0)),INDEX(emprunts!O:O,MATCH($A920,emprunts!$A:$A,0))))</f>
        <v>43101</v>
      </c>
      <c r="E920" s="52">
        <f>INDEX(emprunts!I:I,MATCH($A920,emprunts!$A:$A,0))</f>
        <v>21.17</v>
      </c>
      <c r="F920" s="18" t="str">
        <f>INDEX(emprunts!P:P,MATCH($A920,emprunts!$A:$A,0))</f>
        <v>Barrière avec multiplicateur</v>
      </c>
      <c r="G920" s="126" t="str">
        <f>IF(LEFT(A920,3)="vx_","vx",INDEX(Categorie,MATCH($A920,emprunts!$A$2:$A$149,0)))</f>
        <v>Struct</v>
      </c>
      <c r="H920">
        <v>2014</v>
      </c>
      <c r="I920">
        <f t="shared" si="161"/>
        <v>1</v>
      </c>
      <c r="N920"/>
      <c r="O920" s="58">
        <v>8440823</v>
      </c>
      <c r="P920" s="4">
        <v>3.5400000000000001E-2</v>
      </c>
      <c r="Q920" s="58">
        <v>309023.73</v>
      </c>
      <c r="R920" s="58">
        <v>267477.38</v>
      </c>
      <c r="S920" s="58"/>
      <c r="T920" s="58">
        <v>298711.36</v>
      </c>
      <c r="U920" s="58">
        <f t="shared" si="160"/>
        <v>576501.11</v>
      </c>
      <c r="V920" s="14">
        <f t="shared" si="158"/>
        <v>0</v>
      </c>
      <c r="W920" s="77"/>
      <c r="X920" s="85">
        <f t="shared" si="162"/>
        <v>0</v>
      </c>
      <c r="Y920" s="21">
        <f t="shared" si="159"/>
        <v>3.5031640379796662E-2</v>
      </c>
      <c r="AA920" s="55">
        <f t="shared" si="156"/>
        <v>299557.99999999994</v>
      </c>
      <c r="AB920" s="55">
        <f t="shared" si="157"/>
        <v>-0.61999999918043613</v>
      </c>
      <c r="AC920" s="55">
        <f t="shared" si="155"/>
        <v>8551069.7401643824</v>
      </c>
    </row>
    <row r="921" spans="1:29">
      <c r="A921" t="s">
        <v>333</v>
      </c>
      <c r="B921" s="16" t="str">
        <f>INDEX(emprunts!C:C,MATCH($A921,emprunts!A:A,0))</f>
        <v>Dexia CL</v>
      </c>
      <c r="C921" s="18">
        <f>INDEX(emprunts!M:M,MATCH($A921,emprunts!$A:$A,0))</f>
        <v>40848</v>
      </c>
      <c r="D921" s="18">
        <f>IF(INDEX(emprunts!O:O,MATCH($A921,emprunts!$A:$A,0))="",INDEX(emprunts!N:N,MATCH($A921,emprunts!$A:$A,0)),MIN(INDEX(emprunts!N:N,MATCH($A921,emprunts!$A:$A,0)),INDEX(emprunts!O:O,MATCH($A921,emprunts!$A:$A,0))))</f>
        <v>41654</v>
      </c>
      <c r="E921" s="52">
        <f>INDEX(emprunts!I:I,MATCH($A921,emprunts!$A:$A,0))</f>
        <v>22</v>
      </c>
      <c r="F921" s="18" t="str">
        <f>INDEX(emprunts!P:P,MATCH($A921,emprunts!$A:$A,0))</f>
        <v>Change</v>
      </c>
      <c r="G921" s="126" t="str">
        <f>IF(LEFT(A921,3)="vx_","vx",INDEX(Categorie,MATCH($A921,emprunts!$A$2:$A$149,0)))</f>
        <v>Struct</v>
      </c>
      <c r="H921">
        <v>2014</v>
      </c>
      <c r="I921">
        <f t="shared" si="161"/>
        <v>1</v>
      </c>
      <c r="N921"/>
      <c r="O921" s="58">
        <v>0</v>
      </c>
      <c r="P921" s="4">
        <v>3.2300000000000002E-2</v>
      </c>
      <c r="Q921" s="58">
        <v>45595.86</v>
      </c>
      <c r="R921" s="58">
        <v>0</v>
      </c>
      <c r="S921" s="58"/>
      <c r="T921" s="58">
        <v>0</v>
      </c>
      <c r="U921" s="58">
        <f t="shared" si="160"/>
        <v>45595.86</v>
      </c>
      <c r="V921" s="14">
        <f t="shared" si="158"/>
        <v>0</v>
      </c>
      <c r="W921" s="77"/>
      <c r="X921" s="85">
        <f t="shared" si="162"/>
        <v>7369000</v>
      </c>
      <c r="Y921" s="21">
        <f t="shared" si="159"/>
        <v>3.2263472461857602E-2</v>
      </c>
      <c r="AA921" s="55">
        <f t="shared" si="156"/>
        <v>9119.1600000000035</v>
      </c>
      <c r="AB921" s="55">
        <f t="shared" si="157"/>
        <v>-29</v>
      </c>
      <c r="AC921" s="55">
        <f t="shared" si="155"/>
        <v>282646.57534246577</v>
      </c>
    </row>
    <row r="922" spans="1:29">
      <c r="A922" t="s">
        <v>336</v>
      </c>
      <c r="B922" s="16" t="str">
        <f>INDEX(emprunts!C:C,MATCH($A922,emprunts!A:A,0))</f>
        <v>Dexia CL</v>
      </c>
      <c r="C922" s="18">
        <f>INDEX(emprunts!M:M,MATCH($A922,emprunts!$A:$A,0))</f>
        <v>40878</v>
      </c>
      <c r="D922" s="18">
        <f>IF(INDEX(emprunts!O:O,MATCH($A922,emprunts!$A:$A,0))="",INDEX(emprunts!N:N,MATCH($A922,emprunts!$A:$A,0)),MIN(INDEX(emprunts!N:N,MATCH($A922,emprunts!$A:$A,0)),INDEX(emprunts!O:O,MATCH($A922,emprunts!$A:$A,0))))</f>
        <v>41244</v>
      </c>
      <c r="E922" s="52">
        <f>INDEX(emprunts!I:I,MATCH($A922,emprunts!$A:$A,0))</f>
        <v>18</v>
      </c>
      <c r="F922" s="18" t="str">
        <f>INDEX(emprunts!P:P,MATCH($A922,emprunts!$A:$A,0))</f>
        <v>Change</v>
      </c>
      <c r="G922" s="126" t="str">
        <f>IF(LEFT(A922,3)="vx_","vx",INDEX(Categorie,MATCH($A922,emprunts!$A$2:$A$149,0)))</f>
        <v>Struct</v>
      </c>
      <c r="H922">
        <v>2014</v>
      </c>
      <c r="I922">
        <f t="shared" si="161"/>
        <v>1</v>
      </c>
      <c r="N922"/>
      <c r="O922" s="58"/>
      <c r="Q922" s="58"/>
      <c r="R922" s="58"/>
      <c r="S922" s="58"/>
      <c r="T922" s="58"/>
      <c r="U922" s="58"/>
      <c r="V922" s="14" t="str">
        <f t="shared" si="158"/>
        <v/>
      </c>
      <c r="W922" s="77"/>
      <c r="X922" s="85">
        <f t="shared" si="162"/>
        <v>0</v>
      </c>
      <c r="Y922" s="21" t="str">
        <f t="shared" si="159"/>
        <v/>
      </c>
      <c r="AA922" s="55">
        <f t="shared" si="156"/>
        <v>0</v>
      </c>
      <c r="AB922" s="55">
        <f t="shared" si="157"/>
        <v>0</v>
      </c>
      <c r="AC922" s="55">
        <f t="shared" si="155"/>
        <v>0</v>
      </c>
    </row>
    <row r="923" spans="1:29">
      <c r="A923" t="s">
        <v>338</v>
      </c>
      <c r="B923" s="16" t="str">
        <f>INDEX(emprunts!C:C,MATCH($A923,emprunts!A:A,0))</f>
        <v>Dexia CL</v>
      </c>
      <c r="C923" s="18">
        <f>INDEX(emprunts!M:M,MATCH($A923,emprunts!$A:$A,0))</f>
        <v>40878</v>
      </c>
      <c r="D923" s="18">
        <f>IF(INDEX(emprunts!O:O,MATCH($A923,emprunts!$A:$A,0))="",INDEX(emprunts!N:N,MATCH($A923,emprunts!$A:$A,0)),MIN(INDEX(emprunts!N:N,MATCH($A923,emprunts!$A:$A,0)),INDEX(emprunts!O:O,MATCH($A923,emprunts!$A:$A,0))))</f>
        <v>49644</v>
      </c>
      <c r="E923" s="52">
        <f>INDEX(emprunts!I:I,MATCH($A923,emprunts!$A:$A,0))</f>
        <v>24</v>
      </c>
      <c r="F923" s="18" t="str">
        <f>INDEX(emprunts!P:P,MATCH($A923,emprunts!$A:$A,0))</f>
        <v>Variable</v>
      </c>
      <c r="G923" s="126" t="str">
        <f>IF(LEFT(A923,3)="vx_","vx",INDEX(Categorie,MATCH($A923,emprunts!$A$2:$A$149,0)))</f>
        <v>Non_st</v>
      </c>
      <c r="H923">
        <v>2014</v>
      </c>
      <c r="I923">
        <f t="shared" si="161"/>
        <v>1</v>
      </c>
      <c r="N923"/>
      <c r="O923" s="58">
        <v>4291051</v>
      </c>
      <c r="P923" s="4">
        <v>6.4000000000000003E-3</v>
      </c>
      <c r="Q923" s="58">
        <v>29000.63</v>
      </c>
      <c r="R923" s="58">
        <v>180226.89</v>
      </c>
      <c r="S923" s="58"/>
      <c r="T923" s="58">
        <v>1736.77</v>
      </c>
      <c r="U923" s="58">
        <f>SUM(Q923:S923)</f>
        <v>209227.52000000002</v>
      </c>
      <c r="V923" s="14">
        <f t="shared" si="158"/>
        <v>0</v>
      </c>
      <c r="W923" s="77"/>
      <c r="X923" s="85">
        <f t="shared" si="162"/>
        <v>0</v>
      </c>
      <c r="Y923" s="21">
        <f t="shared" si="159"/>
        <v>6.4952512268148244E-3</v>
      </c>
      <c r="AA923" s="55">
        <f t="shared" si="156"/>
        <v>28378.800000000003</v>
      </c>
      <c r="AB923" s="55">
        <f t="shared" si="157"/>
        <v>-0.11000000033527613</v>
      </c>
      <c r="AC923" s="55">
        <f t="shared" si="155"/>
        <v>4369161.254739726</v>
      </c>
    </row>
    <row r="924" spans="1:29">
      <c r="A924" t="s">
        <v>339</v>
      </c>
      <c r="B924" s="16" t="str">
        <f>INDEX(emprunts!C:C,MATCH($A924,emprunts!A:A,0))</f>
        <v>Caisse d'Épargne</v>
      </c>
      <c r="C924" s="18">
        <f>INDEX(emprunts!M:M,MATCH($A924,emprunts!$A:$A,0))</f>
        <v>40913</v>
      </c>
      <c r="D924" s="18">
        <f>IF(INDEX(emprunts!O:O,MATCH($A924,emprunts!$A:$A,0))="",INDEX(emprunts!N:N,MATCH($A924,emprunts!$A:$A,0)),MIN(INDEX(emprunts!N:N,MATCH($A924,emprunts!$A:$A,0)),INDEX(emprunts!O:O,MATCH($A924,emprunts!$A:$A,0))))</f>
        <v>48218</v>
      </c>
      <c r="E924" s="52">
        <f>INDEX(emprunts!I:I,MATCH($A924,emprunts!$A:$A,0))</f>
        <v>20</v>
      </c>
      <c r="F924" s="18" t="str">
        <f>INDEX(emprunts!P:P,MATCH($A924,emprunts!$A:$A,0))</f>
        <v>Barrière</v>
      </c>
      <c r="G924" s="126" t="str">
        <f>IF(LEFT(A924,3)="vx_","vx",INDEX(Categorie,MATCH($A924,emprunts!$A$2:$A$149,0)))</f>
        <v>Struct</v>
      </c>
      <c r="H924">
        <v>2014</v>
      </c>
      <c r="I924">
        <f t="shared" si="161"/>
        <v>1</v>
      </c>
      <c r="N924"/>
      <c r="O924" s="58">
        <v>6032261</v>
      </c>
      <c r="P924" s="4">
        <v>4.9000000000000002E-2</v>
      </c>
      <c r="Q924" s="58">
        <v>308326.07</v>
      </c>
      <c r="R924" s="58">
        <v>237891.64</v>
      </c>
      <c r="S924" s="58"/>
      <c r="T924" s="58">
        <v>292564.67</v>
      </c>
      <c r="U924" s="58">
        <f>SUM(Q924:S924)</f>
        <v>546217.71</v>
      </c>
      <c r="V924" s="14">
        <f t="shared" si="158"/>
        <v>0</v>
      </c>
      <c r="W924" s="77"/>
      <c r="X924" s="85">
        <f t="shared" si="162"/>
        <v>0</v>
      </c>
      <c r="Y924" s="21">
        <f t="shared" si="159"/>
        <v>4.8381345516195794E-2</v>
      </c>
      <c r="AA924" s="55">
        <f t="shared" si="156"/>
        <v>296788.31</v>
      </c>
      <c r="AB924" s="55">
        <f t="shared" si="157"/>
        <v>-0.36000000033527613</v>
      </c>
      <c r="AC924" s="55">
        <f t="shared" si="155"/>
        <v>6134354.198575343</v>
      </c>
    </row>
    <row r="925" spans="1:29">
      <c r="A925" t="s">
        <v>340</v>
      </c>
      <c r="B925" s="16" t="str">
        <f>INDEX(emprunts!C:C,MATCH($A925,emprunts!A:A,0))</f>
        <v>Caisse d'Épargne</v>
      </c>
      <c r="C925" s="18">
        <f>INDEX(emprunts!M:M,MATCH($A925,emprunts!$A:$A,0))</f>
        <v>40964</v>
      </c>
      <c r="D925" s="18">
        <f>IF(INDEX(emprunts!O:O,MATCH($A925,emprunts!$A:$A,0))="",INDEX(emprunts!N:N,MATCH($A925,emprunts!$A:$A,0)),MIN(INDEX(emprunts!N:N,MATCH($A925,emprunts!$A:$A,0)),INDEX(emprunts!O:O,MATCH($A925,emprunts!$A:$A,0))))</f>
        <v>41330</v>
      </c>
      <c r="E925" s="52">
        <f>INDEX(emprunts!I:I,MATCH($A925,emprunts!$A:$A,0))</f>
        <v>14</v>
      </c>
      <c r="F925" s="18" t="str">
        <f>INDEX(emprunts!P:P,MATCH($A925,emprunts!$A:$A,0))</f>
        <v>Courbes</v>
      </c>
      <c r="G925" s="126" t="str">
        <f>IF(LEFT(A925,3)="vx_","vx",INDEX(Categorie,MATCH($A925,emprunts!$A$2:$A$149,0)))</f>
        <v>Struct</v>
      </c>
      <c r="H925">
        <v>2014</v>
      </c>
      <c r="I925">
        <f t="shared" si="161"/>
        <v>1</v>
      </c>
      <c r="N925"/>
      <c r="O925" s="58"/>
      <c r="Q925" s="58"/>
      <c r="R925" s="58"/>
      <c r="S925" s="58"/>
      <c r="T925" s="58"/>
      <c r="U925" s="58"/>
      <c r="V925" s="14" t="str">
        <f t="shared" si="158"/>
        <v/>
      </c>
      <c r="W925" s="77"/>
      <c r="X925" s="85">
        <f t="shared" si="162"/>
        <v>0</v>
      </c>
      <c r="Y925" s="21" t="str">
        <f t="shared" si="159"/>
        <v/>
      </c>
      <c r="AA925" s="55">
        <f t="shared" si="156"/>
        <v>0</v>
      </c>
      <c r="AB925" s="55">
        <f t="shared" si="157"/>
        <v>0</v>
      </c>
      <c r="AC925" s="55">
        <f t="shared" si="155"/>
        <v>0</v>
      </c>
    </row>
    <row r="926" spans="1:29">
      <c r="A926" t="s">
        <v>342</v>
      </c>
      <c r="B926" s="16" t="str">
        <f>INDEX(emprunts!C:C,MATCH($A926,emprunts!A:A,0))</f>
        <v>CDC</v>
      </c>
      <c r="C926" s="18">
        <f>INDEX(emprunts!M:M,MATCH($A926,emprunts!$A:$A,0))</f>
        <v>40991</v>
      </c>
      <c r="D926" s="18">
        <f>IF(INDEX(emprunts!O:O,MATCH($A926,emprunts!$A:$A,0))="",INDEX(emprunts!N:N,MATCH($A926,emprunts!$A:$A,0)),MIN(INDEX(emprunts!N:N,MATCH($A926,emprunts!$A:$A,0)),INDEX(emprunts!O:O,MATCH($A926,emprunts!$A:$A,0))))</f>
        <v>46661</v>
      </c>
      <c r="E926" s="52">
        <f>INDEX(emprunts!I:I,MATCH($A926,emprunts!$A:$A,0))</f>
        <v>15.25</v>
      </c>
      <c r="F926" s="18" t="str">
        <f>INDEX(emprunts!P:P,MATCH($A926,emprunts!$A:$A,0))</f>
        <v>Variable</v>
      </c>
      <c r="G926" s="126" t="str">
        <f>IF(LEFT(A926,3)="vx_","vx",INDEX(Categorie,MATCH($A926,emprunts!$A$2:$A$149,0)))</f>
        <v>Non_st</v>
      </c>
      <c r="H926">
        <v>2014</v>
      </c>
      <c r="I926">
        <f t="shared" si="161"/>
        <v>1</v>
      </c>
      <c r="N926"/>
      <c r="O926" s="58">
        <v>5312500</v>
      </c>
      <c r="P926" s="4">
        <v>2.23E-2</v>
      </c>
      <c r="Q926" s="58">
        <v>126437.11</v>
      </c>
      <c r="R926" s="58">
        <v>416666.68</v>
      </c>
      <c r="S926" s="58"/>
      <c r="T926" s="58">
        <v>37703.65</v>
      </c>
      <c r="U926" s="58">
        <f>SUM(Q926:S926)</f>
        <v>543103.79</v>
      </c>
      <c r="V926" s="14">
        <f t="shared" si="158"/>
        <v>0</v>
      </c>
      <c r="W926" s="77"/>
      <c r="X926" s="85">
        <f t="shared" si="162"/>
        <v>0</v>
      </c>
      <c r="Y926" s="21">
        <f t="shared" si="159"/>
        <v>2.4012865473802422E-2</v>
      </c>
      <c r="AA926" s="55">
        <f t="shared" si="156"/>
        <v>132207.82</v>
      </c>
      <c r="AB926" s="55">
        <f t="shared" si="157"/>
        <v>-0.32000000029802322</v>
      </c>
      <c r="AC926" s="55">
        <f t="shared" si="155"/>
        <v>5505707.769205479</v>
      </c>
    </row>
    <row r="927" spans="1:29">
      <c r="A927" s="1" t="s">
        <v>531</v>
      </c>
      <c r="B927" s="16" t="str">
        <f>INDEX(emprunts!C:C,MATCH($A927,emprunts!A:A,0))</f>
        <v>Dexia CL</v>
      </c>
      <c r="C927" s="18">
        <f>INDEX(emprunts!M:M,MATCH($A927,emprunts!$A:$A,0))</f>
        <v>41030</v>
      </c>
      <c r="D927" s="18">
        <f>IF(INDEX(emprunts!O:O,MATCH($A927,emprunts!$A:$A,0))="",INDEX(emprunts!N:N,MATCH($A927,emprunts!$A:$A,0)),MIN(INDEX(emprunts!N:N,MATCH($A927,emprunts!$A:$A,0)),INDEX(emprunts!O:O,MATCH($A927,emprunts!$A:$A,0))))</f>
        <v>48122</v>
      </c>
      <c r="E927" s="52">
        <f>INDEX(emprunts!I:I,MATCH($A927,emprunts!$A:$A,0))</f>
        <v>19.420000000000002</v>
      </c>
      <c r="F927" s="18" t="str">
        <f>INDEX(emprunts!P:P,MATCH($A927,emprunts!$A:$A,0))</f>
        <v>Barrière avec multiplicateur</v>
      </c>
      <c r="G927" s="126" t="str">
        <f>IF(LEFT(A927,3)="vx_","vx",INDEX(Categorie,MATCH($A927,emprunts!$A$2:$A$149,0)))</f>
        <v>Struct</v>
      </c>
      <c r="H927">
        <v>2014</v>
      </c>
      <c r="I927">
        <f t="shared" si="161"/>
        <v>1</v>
      </c>
      <c r="N927"/>
      <c r="O927" s="58">
        <v>14315767</v>
      </c>
      <c r="P927" s="4">
        <v>2.07E-2</v>
      </c>
      <c r="Q927" s="58">
        <v>314084.15000000002</v>
      </c>
      <c r="R927" s="58">
        <v>527626.56000000006</v>
      </c>
      <c r="S927" s="58"/>
      <c r="T927" s="58">
        <v>76245.89</v>
      </c>
      <c r="U927" s="58">
        <f>SUM(Q927:S927)</f>
        <v>841710.71000000008</v>
      </c>
      <c r="V927" s="14">
        <f t="shared" si="158"/>
        <v>0</v>
      </c>
      <c r="W927" s="77"/>
      <c r="X927" s="85">
        <f t="shared" si="162"/>
        <v>0</v>
      </c>
      <c r="Y927" s="21">
        <f t="shared" si="159"/>
        <v>2.054233100398889E-2</v>
      </c>
      <c r="AA927" s="55">
        <f t="shared" si="156"/>
        <v>298678.02</v>
      </c>
      <c r="AB927" s="55">
        <f t="shared" si="157"/>
        <v>-0.43999999947845936</v>
      </c>
      <c r="AC927" s="55">
        <f t="shared" si="155"/>
        <v>14539636.224438356</v>
      </c>
    </row>
    <row r="928" spans="1:29">
      <c r="A928" s="1" t="s">
        <v>490</v>
      </c>
      <c r="B928" s="16" t="str">
        <f>INDEX(emprunts!C:C,MATCH($A928,emprunts!A:A,0))</f>
        <v>Dexia CL</v>
      </c>
      <c r="C928" s="18">
        <f>INDEX(emprunts!M:M,MATCH($A928,emprunts!$A:$A,0))</f>
        <v>41030</v>
      </c>
      <c r="D928" s="18">
        <f>IF(INDEX(emprunts!O:O,MATCH($A928,emprunts!$A:$A,0))="",INDEX(emprunts!N:N,MATCH($A928,emprunts!$A:$A,0)),MIN(INDEX(emprunts!N:N,MATCH($A928,emprunts!$A:$A,0)),INDEX(emprunts!O:O,MATCH($A928,emprunts!$A:$A,0))))</f>
        <v>41760</v>
      </c>
      <c r="E928" s="52">
        <f>INDEX(emprunts!I:I,MATCH($A928,emprunts!$A:$A,0))</f>
        <v>17</v>
      </c>
      <c r="F928" s="18" t="str">
        <f>INDEX(emprunts!P:P,MATCH($A928,emprunts!$A:$A,0))</f>
        <v>Change</v>
      </c>
      <c r="G928" s="126" t="str">
        <f>IF(LEFT(A928,3)="vx_","vx",INDEX(Categorie,MATCH($A928,emprunts!$A$2:$A$149,0)))</f>
        <v>Struct</v>
      </c>
      <c r="H928">
        <v>2014</v>
      </c>
      <c r="I928">
        <f t="shared" si="161"/>
        <v>1</v>
      </c>
      <c r="N928"/>
      <c r="O928" s="58">
        <v>6197596</v>
      </c>
      <c r="P928" s="4">
        <v>0.1739</v>
      </c>
      <c r="Q928" s="58">
        <v>886290.76</v>
      </c>
      <c r="R928" s="58">
        <v>500000</v>
      </c>
      <c r="S928" s="58"/>
      <c r="T928" s="58">
        <v>210029.65</v>
      </c>
      <c r="U928" s="58">
        <f>SUM(Q928:S928)</f>
        <v>1386290.76</v>
      </c>
      <c r="V928" s="14">
        <f t="shared" si="158"/>
        <v>0</v>
      </c>
      <c r="W928" s="77"/>
      <c r="X928" s="85">
        <f t="shared" si="162"/>
        <v>7000000</v>
      </c>
      <c r="Y928" s="21">
        <f t="shared" si="159"/>
        <v>0.12617882792334531</v>
      </c>
      <c r="AA928" s="55">
        <f t="shared" si="156"/>
        <v>557852.67999999993</v>
      </c>
      <c r="AB928" s="55">
        <f t="shared" si="157"/>
        <v>0</v>
      </c>
      <c r="AC928" s="55">
        <f t="shared" si="155"/>
        <v>4421127.4520547939</v>
      </c>
    </row>
    <row r="929" spans="1:29">
      <c r="A929" t="s">
        <v>350</v>
      </c>
      <c r="B929" s="16" t="str">
        <f>INDEX(emprunts!C:C,MATCH($A929,emprunts!A:A,0))</f>
        <v>Dexia CL</v>
      </c>
      <c r="C929" s="18">
        <f>INDEX(emprunts!M:M,MATCH($A929,emprunts!$A:$A,0))</f>
        <v>41030</v>
      </c>
      <c r="D929" s="18">
        <f>IF(INDEX(emprunts!O:O,MATCH($A929,emprunts!$A:$A,0))="",INDEX(emprunts!N:N,MATCH($A929,emprunts!$A:$A,0)),MIN(INDEX(emprunts!N:N,MATCH($A929,emprunts!$A:$A,0)),INDEX(emprunts!O:O,MATCH($A929,emprunts!$A:$A,0))))</f>
        <v>41426</v>
      </c>
      <c r="E929" s="52">
        <f>INDEX(emprunts!I:I,MATCH($A929,emprunts!$A:$A,0))</f>
        <v>15</v>
      </c>
      <c r="F929" s="18" t="str">
        <f>INDEX(emprunts!P:P,MATCH($A929,emprunts!$A:$A,0))</f>
        <v>Variable</v>
      </c>
      <c r="G929" s="126" t="str">
        <f>IF(LEFT(A929,3)="vx_","vx",INDEX(Categorie,MATCH($A929,emprunts!$A$2:$A$149,0)))</f>
        <v>Non_st</v>
      </c>
      <c r="H929">
        <v>2014</v>
      </c>
      <c r="I929">
        <f t="shared" si="161"/>
        <v>1</v>
      </c>
      <c r="N929"/>
      <c r="O929" s="58"/>
      <c r="Q929" s="58"/>
      <c r="R929" s="58"/>
      <c r="S929" s="58"/>
      <c r="T929" s="58"/>
      <c r="U929" s="58"/>
      <c r="V929" s="14" t="str">
        <f t="shared" si="158"/>
        <v/>
      </c>
      <c r="W929" s="77"/>
      <c r="X929" s="85">
        <f t="shared" si="162"/>
        <v>0</v>
      </c>
      <c r="Y929" s="21" t="str">
        <f t="shared" si="159"/>
        <v/>
      </c>
      <c r="AA929" s="55">
        <f t="shared" si="156"/>
        <v>0</v>
      </c>
      <c r="AB929" s="55">
        <f t="shared" si="157"/>
        <v>0</v>
      </c>
      <c r="AC929" s="55">
        <f t="shared" si="155"/>
        <v>0</v>
      </c>
    </row>
    <row r="930" spans="1:29">
      <c r="A930" t="s">
        <v>352</v>
      </c>
      <c r="B930" s="16" t="str">
        <f>INDEX(emprunts!C:C,MATCH($A930,emprunts!A:A,0))</f>
        <v>Caisse d'Épargne</v>
      </c>
      <c r="C930" s="18">
        <f>INDEX(emprunts!M:M,MATCH($A930,emprunts!$A:$A,0))</f>
        <v>41167</v>
      </c>
      <c r="D930" s="18">
        <f>IF(INDEX(emprunts!O:O,MATCH($A930,emprunts!$A:$A,0))="",INDEX(emprunts!N:N,MATCH($A930,emprunts!$A:$A,0)),MIN(INDEX(emprunts!N:N,MATCH($A930,emprunts!$A:$A,0)),INDEX(emprunts!O:O,MATCH($A930,emprunts!$A:$A,0))))</f>
        <v>48785</v>
      </c>
      <c r="E930" s="52">
        <f>INDEX(emprunts!I:I,MATCH($A930,emprunts!$A:$A,0))</f>
        <v>20.8</v>
      </c>
      <c r="F930" s="18" t="str">
        <f>INDEX(emprunts!P:P,MATCH($A930,emprunts!$A:$A,0))</f>
        <v>Fixe</v>
      </c>
      <c r="G930" s="126" t="str">
        <f>IF(LEFT(A930,3)="vx_","vx",INDEX(Categorie,MATCH($A930,emprunts!$A$2:$A$149,0)))</f>
        <v>Non_st</v>
      </c>
      <c r="H930">
        <v>2014</v>
      </c>
      <c r="I930">
        <f t="shared" si="161"/>
        <v>1</v>
      </c>
      <c r="N930"/>
      <c r="O930" s="58">
        <v>19246750</v>
      </c>
      <c r="P930" s="4">
        <v>4.5100000000000001E-2</v>
      </c>
      <c r="Q930" s="58">
        <v>887178.34</v>
      </c>
      <c r="R930" s="58">
        <v>606319.24</v>
      </c>
      <c r="S930" s="58"/>
      <c r="T930" s="58">
        <v>159690.01999999999</v>
      </c>
      <c r="U930" s="58">
        <f>SUM(Q930:S930)</f>
        <v>1493497.58</v>
      </c>
      <c r="V930" s="14">
        <f t="shared" si="158"/>
        <v>0</v>
      </c>
      <c r="W930" s="77"/>
      <c r="X930" s="85">
        <f t="shared" si="162"/>
        <v>0</v>
      </c>
      <c r="Y930" s="21">
        <f t="shared" si="159"/>
        <v>4.5246818013026331E-2</v>
      </c>
      <c r="AA930" s="55">
        <f t="shared" si="156"/>
        <v>882147.72</v>
      </c>
      <c r="AB930" s="55">
        <f t="shared" si="157"/>
        <v>-0.76000000163912773</v>
      </c>
      <c r="AC930" s="55">
        <f t="shared" si="155"/>
        <v>19496348.223780822</v>
      </c>
    </row>
    <row r="931" spans="1:29">
      <c r="A931" s="1" t="s">
        <v>493</v>
      </c>
      <c r="B931" s="16" t="str">
        <f>INDEX(emprunts!C:C,MATCH($A931,emprunts!A:A,0))</f>
        <v>Dexia CL</v>
      </c>
      <c r="C931" s="18">
        <f>INDEX(emprunts!M:M,MATCH($A931,emprunts!$A:$A,0))</f>
        <v>41244</v>
      </c>
      <c r="D931" s="18">
        <f>IF(INDEX(emprunts!O:O,MATCH($A931,emprunts!$A:$A,0))="",INDEX(emprunts!N:N,MATCH($A931,emprunts!$A:$A,0)),MIN(INDEX(emprunts!N:N,MATCH($A931,emprunts!$A:$A,0)),INDEX(emprunts!O:O,MATCH($A931,emprunts!$A:$A,0))))</f>
        <v>42675</v>
      </c>
      <c r="E931" s="52">
        <f>INDEX(emprunts!I:I,MATCH($A931,emprunts!$A:$A,0))</f>
        <v>17</v>
      </c>
      <c r="F931" s="18" t="str">
        <f>INDEX(emprunts!P:P,MATCH($A931,emprunts!$A:$A,0))</f>
        <v>Change</v>
      </c>
      <c r="G931" s="126" t="str">
        <f>IF(LEFT(A931,3)="vx_","vx",INDEX(Categorie,MATCH($A931,emprunts!$A$2:$A$149,0)))</f>
        <v>Struct</v>
      </c>
      <c r="H931">
        <v>2014</v>
      </c>
      <c r="I931">
        <f t="shared" si="161"/>
        <v>1</v>
      </c>
      <c r="N931"/>
      <c r="O931" s="58">
        <v>8838205</v>
      </c>
      <c r="P931" s="4">
        <v>0.13689999999999999</v>
      </c>
      <c r="Q931" s="58">
        <v>1193521.5</v>
      </c>
      <c r="R931" s="58">
        <v>390078.71</v>
      </c>
      <c r="S931" s="58"/>
      <c r="T931" s="58">
        <v>36825.86</v>
      </c>
      <c r="U931" s="58">
        <f>SUM(Q931:S931)</f>
        <v>1583600.21</v>
      </c>
      <c r="V931" s="14">
        <f t="shared" si="158"/>
        <v>0</v>
      </c>
      <c r="W931" s="77"/>
      <c r="X931" s="85">
        <f t="shared" si="162"/>
        <v>0</v>
      </c>
      <c r="Y931" s="21">
        <f t="shared" si="159"/>
        <v>0.13146288505174775</v>
      </c>
      <c r="AA931" s="55">
        <f t="shared" si="156"/>
        <v>1184282.8400000001</v>
      </c>
      <c r="AB931" s="55">
        <f t="shared" si="157"/>
        <v>-0.28999999910593033</v>
      </c>
      <c r="AC931" s="55">
        <f t="shared" si="155"/>
        <v>9008495.7403287683</v>
      </c>
    </row>
    <row r="932" spans="1:29" ht="30">
      <c r="A932" s="1" t="s">
        <v>495</v>
      </c>
      <c r="B932" s="16" t="str">
        <f>INDEX(emprunts!C:C,MATCH($A932,emprunts!A:A,0))</f>
        <v>Dexia CL</v>
      </c>
      <c r="C932" s="18">
        <f>INDEX(emprunts!M:M,MATCH($A932,emprunts!$A:$A,0))</f>
        <v>41244</v>
      </c>
      <c r="D932" s="18">
        <f>IF(INDEX(emprunts!O:O,MATCH($A932,emprunts!$A:$A,0))="",INDEX(emprunts!N:N,MATCH($A932,emprunts!$A:$A,0)),MIN(INDEX(emprunts!N:N,MATCH($A932,emprunts!$A:$A,0)),INDEX(emprunts!O:O,MATCH($A932,emprunts!$A:$A,0))))</f>
        <v>48914</v>
      </c>
      <c r="E932" s="52">
        <f>INDEX(emprunts!I:I,MATCH($A932,emprunts!$A:$A,0))</f>
        <v>21</v>
      </c>
      <c r="F932" s="18" t="str">
        <f>INDEX(emprunts!P:P,MATCH($A932,emprunts!$A:$A,0))</f>
        <v>Fixe</v>
      </c>
      <c r="G932" s="126" t="str">
        <f>IF(LEFT(A932,3)="vx_","vx",INDEX(Categorie,MATCH($A932,emprunts!$A$2:$A$149,0)))</f>
        <v>Restr_sec</v>
      </c>
      <c r="H932">
        <v>2014</v>
      </c>
      <c r="I932">
        <f t="shared" si="161"/>
        <v>1</v>
      </c>
      <c r="N932"/>
      <c r="O932" s="58">
        <v>6963658</v>
      </c>
      <c r="P932" s="4">
        <v>5.21E-2</v>
      </c>
      <c r="Q932" s="58">
        <v>398338.21</v>
      </c>
      <c r="R932" s="58">
        <v>665109.46</v>
      </c>
      <c r="S932" s="58"/>
      <c r="T932" s="58">
        <v>29885.7</v>
      </c>
      <c r="U932" s="58">
        <f>SUM(Q932:S932)</f>
        <v>1063447.67</v>
      </c>
      <c r="V932" s="14">
        <f t="shared" si="158"/>
        <v>0</v>
      </c>
      <c r="W932" s="77"/>
      <c r="X932" s="85">
        <f t="shared" si="162"/>
        <v>0</v>
      </c>
      <c r="Y932" s="21">
        <f t="shared" si="159"/>
        <v>5.4352893559491772E-2</v>
      </c>
      <c r="AA932" s="55">
        <f t="shared" si="156"/>
        <v>395483.78</v>
      </c>
      <c r="AB932" s="55">
        <f t="shared" si="157"/>
        <v>0.4599999999627471</v>
      </c>
      <c r="AC932" s="55">
        <f t="shared" si="155"/>
        <v>7276223.1060821926</v>
      </c>
    </row>
    <row r="933" spans="1:29">
      <c r="A933" t="s">
        <v>354</v>
      </c>
      <c r="B933" s="16" t="str">
        <f>INDEX(emprunts!C:C,MATCH($A933,emprunts!A:A,0))</f>
        <v>Caisse d'Épargne</v>
      </c>
      <c r="C933" s="18">
        <f>INDEX(emprunts!M:M,MATCH($A933,emprunts!$A:$A,0))</f>
        <v>41330</v>
      </c>
      <c r="D933" s="18">
        <f>IF(INDEX(emprunts!O:O,MATCH($A933,emprunts!$A:$A,0))="",INDEX(emprunts!N:N,MATCH($A933,emprunts!$A:$A,0)),MIN(INDEX(emprunts!N:N,MATCH($A933,emprunts!$A:$A,0)),INDEX(emprunts!O:O,MATCH($A933,emprunts!$A:$A,0))))</f>
        <v>41695</v>
      </c>
      <c r="E933" s="52">
        <f>INDEX(emprunts!I:I,MATCH($A933,emprunts!$A:$A,0))</f>
        <v>13</v>
      </c>
      <c r="F933" s="18" t="str">
        <f>INDEX(emprunts!P:P,MATCH($A933,emprunts!$A:$A,0))</f>
        <v>Courbes</v>
      </c>
      <c r="G933" s="126" t="str">
        <f>IF(LEFT(A933,3)="vx_","vx",INDEX(Categorie,MATCH($A933,emprunts!$A$2:$A$149,0)))</f>
        <v>Struct</v>
      </c>
      <c r="H933">
        <v>2014</v>
      </c>
      <c r="I933">
        <f t="shared" si="161"/>
        <v>1</v>
      </c>
      <c r="N933"/>
      <c r="O933" s="58"/>
      <c r="Q933" s="58"/>
      <c r="R933" s="58"/>
      <c r="S933" s="58"/>
      <c r="T933" s="58"/>
      <c r="U933" s="58"/>
      <c r="V933" s="14" t="str">
        <f t="shared" si="158"/>
        <v/>
      </c>
      <c r="W933" s="77"/>
      <c r="X933" s="85">
        <f t="shared" si="162"/>
        <v>10562000</v>
      </c>
      <c r="Y933" s="21" t="str">
        <f t="shared" si="159"/>
        <v/>
      </c>
      <c r="AA933" s="55">
        <f t="shared" si="156"/>
        <v>-453291.5</v>
      </c>
      <c r="AB933" s="55">
        <f t="shared" si="157"/>
        <v>-132</v>
      </c>
      <c r="AC933" s="55">
        <f t="shared" si="155"/>
        <v>1591534.2465753425</v>
      </c>
    </row>
    <row r="934" spans="1:29" ht="30">
      <c r="A934" s="1" t="s">
        <v>506</v>
      </c>
      <c r="B934" s="16" t="str">
        <f>INDEX(emprunts!C:C,MATCH($A934,emprunts!A:A,0))</f>
        <v>Caisse d'Épargne</v>
      </c>
      <c r="C934" s="18">
        <f>INDEX(emprunts!M:M,MATCH($A934,emprunts!$A:$A,0))</f>
        <v>41330</v>
      </c>
      <c r="D934" s="18">
        <f>IF(INDEX(emprunts!O:O,MATCH($A934,emprunts!$A:$A,0))="",INDEX(emprunts!N:N,MATCH($A934,emprunts!$A:$A,0)),MIN(INDEX(emprunts!N:N,MATCH($A934,emprunts!$A:$A,0)),INDEX(emprunts!O:O,MATCH($A934,emprunts!$A:$A,0))))</f>
        <v>48635</v>
      </c>
      <c r="E934" s="52">
        <f>INDEX(emprunts!I:I,MATCH($A934,emprunts!$A:$A,0))</f>
        <v>20</v>
      </c>
      <c r="F934" s="18" t="str">
        <f>INDEX(emprunts!P:P,MATCH($A934,emprunts!$A:$A,0))</f>
        <v>Fixe</v>
      </c>
      <c r="G934" s="126" t="str">
        <f>IF(LEFT(A934,3)="vx_","vx",INDEX(Categorie,MATCH($A934,emprunts!$A$2:$A$149,0)))</f>
        <v>Restr_sec</v>
      </c>
      <c r="H934">
        <v>2014</v>
      </c>
      <c r="I934">
        <f t="shared" si="161"/>
        <v>1</v>
      </c>
      <c r="N934"/>
      <c r="O934" s="58">
        <v>3835537</v>
      </c>
      <c r="P934" s="4">
        <v>4.4900000000000002E-2</v>
      </c>
      <c r="Q934" s="58">
        <v>176157.01</v>
      </c>
      <c r="R934" s="58">
        <v>125926.97</v>
      </c>
      <c r="S934" s="58"/>
      <c r="T934" s="58">
        <v>17023.48</v>
      </c>
      <c r="U934" s="58">
        <f t="shared" ref="U934:U943" si="163">SUM(Q934:S934)</f>
        <v>302083.98</v>
      </c>
      <c r="V934" s="14">
        <f t="shared" si="158"/>
        <v>0</v>
      </c>
      <c r="W934" s="77"/>
      <c r="X934" s="85">
        <f t="shared" si="162"/>
        <v>0</v>
      </c>
      <c r="Y934" s="21">
        <f t="shared" si="159"/>
        <v>4.5166215328209046E-2</v>
      </c>
      <c r="AA934" s="55">
        <f t="shared" si="156"/>
        <v>175598.10000000003</v>
      </c>
      <c r="AB934" s="55">
        <f t="shared" si="157"/>
        <v>-2.9999999795109034E-2</v>
      </c>
      <c r="AC934" s="55">
        <f t="shared" si="155"/>
        <v>3887819.6617534244</v>
      </c>
    </row>
    <row r="935" spans="1:29" ht="30">
      <c r="A935" s="1" t="s">
        <v>498</v>
      </c>
      <c r="B935" s="16" t="str">
        <f>INDEX(emprunts!C:C,MATCH($A935,emprunts!A:A,0))</f>
        <v>Dexia CL</v>
      </c>
      <c r="C935" s="18">
        <f>INDEX(emprunts!M:M,MATCH($A935,emprunts!$A:$A,0))</f>
        <v>41426</v>
      </c>
      <c r="D935" s="18">
        <f>IF(INDEX(emprunts!O:O,MATCH($A935,emprunts!$A:$A,0))="",INDEX(emprunts!N:N,MATCH($A935,emprunts!$A:$A,0)),MIN(INDEX(emprunts!N:N,MATCH($A935,emprunts!$A:$A,0)),INDEX(emprunts!O:O,MATCH($A935,emprunts!$A:$A,0))))</f>
        <v>48731</v>
      </c>
      <c r="E935" s="52">
        <f>INDEX(emprunts!I:I,MATCH($A935,emprunts!$A:$A,0))</f>
        <v>20</v>
      </c>
      <c r="F935" s="18" t="str">
        <f>INDEX(emprunts!P:P,MATCH($A935,emprunts!$A:$A,0))</f>
        <v>Fixe</v>
      </c>
      <c r="G935" s="126" t="str">
        <f>IF(LEFT(A935,3)="vx_","vx",INDEX(Categorie,MATCH($A935,emprunts!$A$2:$A$149,0)))</f>
        <v>Restr_sec</v>
      </c>
      <c r="H935">
        <v>2014</v>
      </c>
      <c r="I935">
        <f t="shared" si="161"/>
        <v>1</v>
      </c>
      <c r="N935"/>
      <c r="O935" s="58">
        <v>16142272</v>
      </c>
      <c r="P935" s="4">
        <v>5.04E-2</v>
      </c>
      <c r="Q935" s="58">
        <v>843821.14</v>
      </c>
      <c r="R935" s="58">
        <v>569815.56000000006</v>
      </c>
      <c r="S935" s="58"/>
      <c r="T935" s="58">
        <v>475632.03</v>
      </c>
      <c r="U935" s="58">
        <f t="shared" si="163"/>
        <v>1413636.7000000002</v>
      </c>
      <c r="V935" s="14">
        <f t="shared" si="158"/>
        <v>0</v>
      </c>
      <c r="W935" s="77"/>
      <c r="X935" s="85">
        <f t="shared" si="162"/>
        <v>0</v>
      </c>
      <c r="Y935" s="21">
        <f t="shared" si="159"/>
        <v>5.0483625048351695E-2</v>
      </c>
      <c r="AA935" s="55">
        <f t="shared" si="156"/>
        <v>827031.5199999999</v>
      </c>
      <c r="AB935" s="55">
        <f t="shared" si="157"/>
        <v>0.56000000052154064</v>
      </c>
      <c r="AC935" s="55">
        <f t="shared" si="155"/>
        <v>16382173.808</v>
      </c>
    </row>
    <row r="936" spans="1:29">
      <c r="A936" t="s">
        <v>357</v>
      </c>
      <c r="B936" s="16" t="str">
        <f>INDEX(emprunts!C:C,MATCH($A936,emprunts!A:A,0))</f>
        <v>Caisse d'Épargne</v>
      </c>
      <c r="C936" s="18">
        <f>INDEX(emprunts!M:M,MATCH($A936,emprunts!$A:$A,0))</f>
        <v>41639</v>
      </c>
      <c r="D936" s="18">
        <f>IF(INDEX(emprunts!O:O,MATCH($A936,emprunts!$A:$A,0))="",INDEX(emprunts!N:N,MATCH($A936,emprunts!$A:$A,0)),MIN(INDEX(emprunts!N:N,MATCH($A936,emprunts!$A:$A,0)),INDEX(emprunts!O:O,MATCH($A936,emprunts!$A:$A,0))))</f>
        <v>48944</v>
      </c>
      <c r="E936" s="52">
        <f>INDEX(emprunts!I:I,MATCH($A936,emprunts!$A:$A,0))</f>
        <v>20</v>
      </c>
      <c r="F936" s="18" t="str">
        <f>INDEX(emprunts!P:P,MATCH($A936,emprunts!$A:$A,0))</f>
        <v>Fixe</v>
      </c>
      <c r="G936" s="126" t="str">
        <f>IF(LEFT(A936,3)="vx_","vx",INDEX(Categorie,MATCH($A936,emprunts!$A$2:$A$149,0)))</f>
        <v>Non_st</v>
      </c>
      <c r="H936">
        <v>2014</v>
      </c>
      <c r="I936">
        <f t="shared" si="161"/>
        <v>1</v>
      </c>
      <c r="N936"/>
      <c r="O936" s="58">
        <v>9500000</v>
      </c>
      <c r="P936" s="4">
        <v>4.3999999999999997E-2</v>
      </c>
      <c r="Q936" s="58">
        <v>441041.67</v>
      </c>
      <c r="R936" s="58">
        <v>500000</v>
      </c>
      <c r="S936" s="58"/>
      <c r="T936" s="58">
        <v>0</v>
      </c>
      <c r="U936" s="58">
        <f t="shared" si="163"/>
        <v>941041.66999999993</v>
      </c>
      <c r="V936" s="14">
        <f t="shared" si="158"/>
        <v>0</v>
      </c>
      <c r="W936" s="77"/>
      <c r="X936" s="85">
        <f t="shared" si="162"/>
        <v>0</v>
      </c>
      <c r="Y936" s="21">
        <f t="shared" si="159"/>
        <v>4.5359315173288249E-2</v>
      </c>
      <c r="AA936" s="55">
        <f t="shared" si="156"/>
        <v>441041.67</v>
      </c>
      <c r="AB936" s="55">
        <f t="shared" si="157"/>
        <v>0</v>
      </c>
      <c r="AC936" s="55">
        <f t="shared" ref="AC936:AC993" si="164">MAX(0,(C936-DATE(H936,1,1))/365)*0+MAX(0,MIN(1,(MIN(DATE(H936,12,31),D936)-MAX(DATE(H936,1,1),C936))/365))*(O936+X936+R936/2)</f>
        <v>9723287.6712328773</v>
      </c>
    </row>
    <row r="937" spans="1:29" ht="30">
      <c r="A937" t="s">
        <v>358</v>
      </c>
      <c r="B937" s="16" t="str">
        <f>INDEX(emprunts!C:C,MATCH($A937,emprunts!A:A,0))</f>
        <v>Société Générale</v>
      </c>
      <c r="C937" s="18">
        <f>INDEX(emprunts!M:M,MATCH($A937,emprunts!$A:$A,0))</f>
        <v>41640</v>
      </c>
      <c r="D937" s="18">
        <f>IF(INDEX(emprunts!O:O,MATCH($A937,emprunts!$A:$A,0))="",INDEX(emprunts!N:N,MATCH($A937,emprunts!$A:$A,0)),MIN(INDEX(emprunts!N:N,MATCH($A937,emprunts!$A:$A,0)),INDEX(emprunts!O:O,MATCH($A937,emprunts!$A:$A,0))))</f>
        <v>49310</v>
      </c>
      <c r="E937" s="52">
        <f>INDEX(emprunts!I:I,MATCH($A937,emprunts!$A:$A,0))</f>
        <v>21</v>
      </c>
      <c r="F937" s="18" t="str">
        <f>INDEX(emprunts!P:P,MATCH($A937,emprunts!$A:$A,0))</f>
        <v>Fixe</v>
      </c>
      <c r="G937" s="126" t="str">
        <f>IF(LEFT(A937,3)="vx_","vx",INDEX(Categorie,MATCH($A937,emprunts!$A$2:$A$149,0)))</f>
        <v>Restr_sec</v>
      </c>
      <c r="H937">
        <v>2014</v>
      </c>
      <c r="I937">
        <f t="shared" si="161"/>
        <v>1</v>
      </c>
      <c r="N937"/>
      <c r="O937" s="58">
        <v>4071652</v>
      </c>
      <c r="P937" s="4">
        <v>4.8500000000000001E-2</v>
      </c>
      <c r="Q937" s="58">
        <v>0</v>
      </c>
      <c r="R937" s="58">
        <v>0</v>
      </c>
      <c r="S937" s="58"/>
      <c r="T937" s="58">
        <v>197610.83</v>
      </c>
      <c r="U937" s="58">
        <f t="shared" si="163"/>
        <v>0</v>
      </c>
      <c r="V937" s="14">
        <f t="shared" si="158"/>
        <v>0</v>
      </c>
      <c r="W937" s="77"/>
      <c r="X937" s="85">
        <f t="shared" si="162"/>
        <v>0</v>
      </c>
      <c r="Y937" s="21">
        <f t="shared" si="159"/>
        <v>4.8666663284486093E-2</v>
      </c>
      <c r="AA937" s="55">
        <f t="shared" si="156"/>
        <v>197610.83</v>
      </c>
      <c r="AB937" s="55" t="str">
        <f t="shared" si="157"/>
        <v/>
      </c>
      <c r="AC937" s="55">
        <f t="shared" si="164"/>
        <v>4060496.7890410959</v>
      </c>
    </row>
    <row r="938" spans="1:29" ht="30">
      <c r="A938" t="s">
        <v>359</v>
      </c>
      <c r="B938" s="16" t="str">
        <f>INDEX(emprunts!C:C,MATCH($A938,emprunts!A:A,0))</f>
        <v>Dexia CL</v>
      </c>
      <c r="C938" s="18">
        <f>INDEX(emprunts!M:M,MATCH($A938,emprunts!$A:$A,0))</f>
        <v>41654</v>
      </c>
      <c r="D938" s="18">
        <f>IF(INDEX(emprunts!O:O,MATCH($A938,emprunts!$A:$A,0))="",INDEX(emprunts!N:N,MATCH($A938,emprunts!$A:$A,0)),MIN(INDEX(emprunts!N:N,MATCH($A938,emprunts!$A:$A,0)),INDEX(emprunts!O:O,MATCH($A938,emprunts!$A:$A,0))))</f>
        <v>48884</v>
      </c>
      <c r="E938" s="52">
        <f>INDEX(emprunts!I:I,MATCH($A938,emprunts!$A:$A,0))</f>
        <v>19.829999999999998</v>
      </c>
      <c r="F938" s="18" t="str">
        <f>INDEX(emprunts!P:P,MATCH($A938,emprunts!$A:$A,0))</f>
        <v>Fixe</v>
      </c>
      <c r="G938" s="126" t="str">
        <f>IF(LEFT(A938,3)="vx_","vx",INDEX(Categorie,MATCH($A938,emprunts!$A$2:$A$149,0)))</f>
        <v>Restr_sec</v>
      </c>
      <c r="H938">
        <v>2014</v>
      </c>
      <c r="I938">
        <f t="shared" si="161"/>
        <v>1</v>
      </c>
      <c r="N938"/>
      <c r="O938" s="58">
        <v>23549083</v>
      </c>
      <c r="P938" s="4">
        <v>4.6899999999999997E-2</v>
      </c>
      <c r="Q938" s="58">
        <v>918335.71</v>
      </c>
      <c r="R938" s="58">
        <v>1019945.84</v>
      </c>
      <c r="S938" s="58"/>
      <c r="T938" s="58">
        <v>182112.91</v>
      </c>
      <c r="U938" s="58">
        <f t="shared" si="163"/>
        <v>1938281.5499999998</v>
      </c>
      <c r="V938" s="14">
        <f t="shared" si="158"/>
        <v>0</v>
      </c>
      <c r="W938" s="77"/>
      <c r="X938" s="85">
        <f t="shared" si="162"/>
        <v>0</v>
      </c>
      <c r="Y938" s="21">
        <f t="shared" si="159"/>
        <v>4.7699739654384801E-2</v>
      </c>
      <c r="AA938" s="55">
        <f t="shared" si="156"/>
        <v>1100448.6199999999</v>
      </c>
      <c r="AB938" s="55" t="str">
        <f t="shared" si="157"/>
        <v/>
      </c>
      <c r="AC938" s="55">
        <f t="shared" si="164"/>
        <v>23070327.59452055</v>
      </c>
    </row>
    <row r="939" spans="1:29">
      <c r="A939" t="s">
        <v>360</v>
      </c>
      <c r="B939" s="16" t="str">
        <f>INDEX(emprunts!C:C,MATCH($A939,emprunts!A:A,0))</f>
        <v>Caisse d'Épargne</v>
      </c>
      <c r="C939" s="18">
        <f>INDEX(emprunts!M:M,MATCH($A939,emprunts!$A:$A,0))</f>
        <v>41695</v>
      </c>
      <c r="D939" s="18">
        <f>IF(INDEX(emprunts!O:O,MATCH($A939,emprunts!$A:$A,0))="",INDEX(emprunts!N:N,MATCH($A939,emprunts!$A:$A,0)),MIN(INDEX(emprunts!N:N,MATCH($A939,emprunts!$A:$A,0)),INDEX(emprunts!O:O,MATCH($A939,emprunts!$A:$A,0))))</f>
        <v>43156</v>
      </c>
      <c r="E939" s="52">
        <f>INDEX(emprunts!I:I,MATCH($A939,emprunts!$A:$A,0))</f>
        <v>5</v>
      </c>
      <c r="F939" s="18" t="str">
        <f>INDEX(emprunts!P:P,MATCH($A939,emprunts!$A:$A,0))</f>
        <v>Courbes</v>
      </c>
      <c r="G939" s="126" t="str">
        <f>IF(LEFT(A939,3)="vx_","vx",INDEX(Categorie,MATCH($A939,emprunts!$A$2:$A$149,0)))</f>
        <v>Struct</v>
      </c>
      <c r="H939">
        <v>2014</v>
      </c>
      <c r="I939">
        <f t="shared" si="161"/>
        <v>1</v>
      </c>
      <c r="N939"/>
      <c r="O939" s="58">
        <v>7218920</v>
      </c>
      <c r="P939" s="4">
        <v>5.0599999999999999E-2</v>
      </c>
      <c r="Q939" s="58">
        <v>535441.41</v>
      </c>
      <c r="R939" s="58">
        <v>806835.08</v>
      </c>
      <c r="S939" s="58"/>
      <c r="T939" s="58">
        <v>309811.98</v>
      </c>
      <c r="U939" s="58">
        <f t="shared" si="163"/>
        <v>1342276.49</v>
      </c>
      <c r="V939" s="14">
        <f t="shared" si="158"/>
        <v>0</v>
      </c>
      <c r="W939" s="77"/>
      <c r="X939" s="85">
        <f t="shared" si="162"/>
        <v>0</v>
      </c>
      <c r="Y939" s="21">
        <f t="shared" si="159"/>
        <v>0.13098848813094541</v>
      </c>
      <c r="AA939" s="55">
        <f t="shared" si="156"/>
        <v>845253.39</v>
      </c>
      <c r="AB939" s="55" t="str">
        <f t="shared" si="157"/>
        <v/>
      </c>
      <c r="AC939" s="55">
        <f t="shared" si="164"/>
        <v>6452883.0133150686</v>
      </c>
    </row>
    <row r="940" spans="1:29" ht="30">
      <c r="A940" t="s">
        <v>361</v>
      </c>
      <c r="B940" s="16" t="str">
        <f>INDEX(emprunts!C:C,MATCH($A940,emprunts!A:A,0))</f>
        <v>Caisse d'Épargne</v>
      </c>
      <c r="C940" s="18">
        <f>INDEX(emprunts!M:M,MATCH($A940,emprunts!$A:$A,0))</f>
        <v>41695</v>
      </c>
      <c r="D940" s="18">
        <f>IF(INDEX(emprunts!O:O,MATCH($A940,emprunts!$A:$A,0))="",INDEX(emprunts!N:N,MATCH($A940,emprunts!$A:$A,0)),MIN(INDEX(emprunts!N:N,MATCH($A940,emprunts!$A:$A,0)),INDEX(emprunts!O:O,MATCH($A940,emprunts!$A:$A,0))))</f>
        <v>46078</v>
      </c>
      <c r="E940" s="52">
        <f>INDEX(emprunts!I:I,MATCH($A940,emprunts!$A:$A,0))</f>
        <v>12</v>
      </c>
      <c r="F940" s="18" t="str">
        <f>INDEX(emprunts!P:P,MATCH($A940,emprunts!$A:$A,0))</f>
        <v>Fixe</v>
      </c>
      <c r="G940" s="126" t="str">
        <f>IF(LEFT(A940,3)="vx_","vx",INDEX(Categorie,MATCH($A940,emprunts!$A$2:$A$149,0)))</f>
        <v>Restr_sec</v>
      </c>
      <c r="H940">
        <v>2014</v>
      </c>
      <c r="I940">
        <f t="shared" si="161"/>
        <v>1</v>
      </c>
      <c r="N940"/>
      <c r="O940" s="58">
        <v>2536377</v>
      </c>
      <c r="P940" s="4">
        <v>4.7800000000000002E-2</v>
      </c>
      <c r="Q940" s="58">
        <v>0</v>
      </c>
      <c r="R940" s="58">
        <v>0</v>
      </c>
      <c r="S940" s="58"/>
      <c r="T940" s="58">
        <v>102974.79</v>
      </c>
      <c r="U940" s="58">
        <f t="shared" si="163"/>
        <v>0</v>
      </c>
      <c r="V940" s="14">
        <f t="shared" si="158"/>
        <v>0</v>
      </c>
      <c r="W940" s="77"/>
      <c r="X940" s="85">
        <f t="shared" si="162"/>
        <v>0</v>
      </c>
      <c r="Y940" s="21">
        <f t="shared" si="159"/>
        <v>4.7956943255705937E-2</v>
      </c>
      <c r="AA940" s="55">
        <f t="shared" si="156"/>
        <v>102974.79</v>
      </c>
      <c r="AB940" s="55" t="str">
        <f t="shared" si="157"/>
        <v/>
      </c>
      <c r="AC940" s="55">
        <f t="shared" si="164"/>
        <v>2147234.2273972603</v>
      </c>
    </row>
    <row r="941" spans="1:29" ht="30">
      <c r="A941" t="s">
        <v>362</v>
      </c>
      <c r="B941" s="16" t="str">
        <f>INDEX(emprunts!C:C,MATCH($A941,emprunts!A:A,0))</f>
        <v>Société Générale</v>
      </c>
      <c r="C941" s="18">
        <f>INDEX(emprunts!M:M,MATCH($A941,emprunts!$A:$A,0))</f>
        <v>41730</v>
      </c>
      <c r="D941" s="18">
        <f>IF(INDEX(emprunts!O:O,MATCH($A941,emprunts!$A:$A,0))="",INDEX(emprunts!N:N,MATCH($A941,emprunts!$A:$A,0)),MIN(INDEX(emprunts!N:N,MATCH($A941,emprunts!$A:$A,0)),INDEX(emprunts!O:O,MATCH($A941,emprunts!$A:$A,0))))</f>
        <v>49400</v>
      </c>
      <c r="E941" s="52">
        <f>INDEX(emprunts!I:I,MATCH($A941,emprunts!$A:$A,0))</f>
        <v>21</v>
      </c>
      <c r="F941" s="18" t="str">
        <f>INDEX(emprunts!P:P,MATCH($A941,emprunts!$A:$A,0))</f>
        <v>Fixe</v>
      </c>
      <c r="G941" s="126" t="str">
        <f>IF(LEFT(A941,3)="vx_","vx",INDEX(Categorie,MATCH($A941,emprunts!$A$2:$A$149,0)))</f>
        <v>Restr_sec</v>
      </c>
      <c r="H941">
        <v>2014</v>
      </c>
      <c r="I941">
        <f t="shared" si="161"/>
        <v>1</v>
      </c>
      <c r="N941"/>
      <c r="O941" s="58">
        <v>3394508</v>
      </c>
      <c r="P941" s="4">
        <v>4.8500000000000001E-2</v>
      </c>
      <c r="Q941" s="58">
        <v>0</v>
      </c>
      <c r="R941" s="58">
        <v>0</v>
      </c>
      <c r="S941" s="58"/>
      <c r="T941" s="58">
        <v>124012.68</v>
      </c>
      <c r="U941" s="58">
        <f t="shared" si="163"/>
        <v>0</v>
      </c>
      <c r="V941" s="14">
        <f t="shared" si="158"/>
        <v>0</v>
      </c>
      <c r="W941" s="77"/>
      <c r="X941" s="85">
        <f t="shared" si="162"/>
        <v>0</v>
      </c>
      <c r="Y941" s="21">
        <f t="shared" si="159"/>
        <v>4.8666661852822472E-2</v>
      </c>
      <c r="AA941" s="55">
        <f t="shared" si="156"/>
        <v>124012.68</v>
      </c>
      <c r="AB941" s="55" t="str">
        <f t="shared" si="157"/>
        <v/>
      </c>
      <c r="AC941" s="55">
        <f t="shared" si="164"/>
        <v>2548206.0054794522</v>
      </c>
    </row>
    <row r="942" spans="1:29">
      <c r="A942" t="s">
        <v>363</v>
      </c>
      <c r="B942" s="16" t="str">
        <f>INDEX(emprunts!C:C,MATCH($A942,emprunts!A:A,0))</f>
        <v>Dexia CL</v>
      </c>
      <c r="C942" s="18">
        <f>INDEX(emprunts!M:M,MATCH($A942,emprunts!$A:$A,0))</f>
        <v>41760</v>
      </c>
      <c r="D942" s="18">
        <f>IF(INDEX(emprunts!O:O,MATCH($A942,emprunts!$A:$A,0))="",INDEX(emprunts!N:N,MATCH($A942,emprunts!$A:$A,0)),MIN(INDEX(emprunts!N:N,MATCH($A942,emprunts!$A:$A,0)),INDEX(emprunts!O:O,MATCH($A942,emprunts!$A:$A,0))))</f>
        <v>47239</v>
      </c>
      <c r="E942" s="52">
        <f>INDEX(emprunts!I:I,MATCH($A942,emprunts!$A:$A,0))</f>
        <v>15</v>
      </c>
      <c r="F942" s="18" t="str">
        <f>INDEX(emprunts!P:P,MATCH($A942,emprunts!$A:$A,0))</f>
        <v>Fixe</v>
      </c>
      <c r="G942" s="126" t="str">
        <f>IF(LEFT(A942,3)="vx_","vx",INDEX(Categorie,MATCH($A942,emprunts!$A$2:$A$149,0)))</f>
        <v>Non_st</v>
      </c>
      <c r="H942">
        <v>2014</v>
      </c>
      <c r="I942">
        <f t="shared" si="161"/>
        <v>1</v>
      </c>
      <c r="N942"/>
      <c r="O942" s="58">
        <v>6000000</v>
      </c>
      <c r="P942" s="26">
        <v>0.04</v>
      </c>
      <c r="Q942" s="58">
        <v>94063.34</v>
      </c>
      <c r="R942" s="58">
        <v>0</v>
      </c>
      <c r="S942" s="58"/>
      <c r="T942" s="58">
        <v>161040</v>
      </c>
      <c r="U942" s="58">
        <f t="shared" si="163"/>
        <v>94063.34</v>
      </c>
      <c r="V942" s="14">
        <f t="shared" si="158"/>
        <v>0</v>
      </c>
      <c r="W942" s="77"/>
      <c r="X942" s="85">
        <f t="shared" si="162"/>
        <v>0</v>
      </c>
      <c r="Y942" s="21">
        <f t="shared" si="159"/>
        <v>6.3601584084699445E-2</v>
      </c>
      <c r="AA942" s="55">
        <f t="shared" si="156"/>
        <v>255103.34</v>
      </c>
      <c r="AB942" s="55" t="str">
        <f t="shared" si="157"/>
        <v/>
      </c>
      <c r="AC942" s="55">
        <f t="shared" si="164"/>
        <v>4010958.9041095893</v>
      </c>
    </row>
    <row r="943" spans="1:29" ht="30">
      <c r="A943" t="s">
        <v>364</v>
      </c>
      <c r="B943" s="16" t="str">
        <f>INDEX(emprunts!C:C,MATCH($A943,emprunts!A:A,0))</f>
        <v>Dexia CL</v>
      </c>
      <c r="C943" s="18">
        <f>INDEX(emprunts!M:M,MATCH($A943,emprunts!$A:$A,0))</f>
        <v>41760</v>
      </c>
      <c r="D943" s="18">
        <f>IF(INDEX(emprunts!O:O,MATCH($A943,emprunts!$A:$A,0))="",INDEX(emprunts!N:N,MATCH($A943,emprunts!$A:$A,0)),MIN(INDEX(emprunts!N:N,MATCH($A943,emprunts!$A:$A,0)),INDEX(emprunts!O:O,MATCH($A943,emprunts!$A:$A,0))))</f>
        <v>49796</v>
      </c>
      <c r="E943" s="52">
        <f>INDEX(emprunts!I:I,MATCH($A943,emprunts!$A:$A,0))</f>
        <v>22</v>
      </c>
      <c r="F943" s="18" t="str">
        <f>INDEX(emprunts!P:P,MATCH($A943,emprunts!$A:$A,0))</f>
        <v>Fixe</v>
      </c>
      <c r="G943" s="126" t="str">
        <f>IF(LEFT(A943,3)="vx_","vx",INDEX(Categorie,MATCH($A943,emprunts!$A$2:$A$149,0)))</f>
        <v>Restr_aidé</v>
      </c>
      <c r="H943">
        <v>2014</v>
      </c>
      <c r="I943">
        <f t="shared" si="161"/>
        <v>1</v>
      </c>
      <c r="N943"/>
      <c r="O943" s="58">
        <v>37514615</v>
      </c>
      <c r="P943" s="4">
        <v>4.7199999999999999E-2</v>
      </c>
      <c r="Q943" s="58">
        <v>0</v>
      </c>
      <c r="R943" s="58">
        <v>0</v>
      </c>
      <c r="S943" s="58"/>
      <c r="T943" s="58">
        <v>1187420.94</v>
      </c>
      <c r="U943" s="58">
        <f t="shared" si="163"/>
        <v>0</v>
      </c>
      <c r="V943" s="14">
        <f t="shared" si="158"/>
        <v>0</v>
      </c>
      <c r="W943" s="77"/>
      <c r="X943" s="85">
        <f t="shared" si="162"/>
        <v>0</v>
      </c>
      <c r="Y943" s="21">
        <f t="shared" si="159"/>
        <v>4.7348611487488403E-2</v>
      </c>
      <c r="AA943" s="55">
        <f t="shared" si="156"/>
        <v>1187420.94</v>
      </c>
      <c r="AB943" s="55" t="str">
        <f t="shared" si="157"/>
        <v/>
      </c>
      <c r="AC943" s="55">
        <f t="shared" si="164"/>
        <v>25078263.178082194</v>
      </c>
    </row>
    <row r="944" spans="1:29">
      <c r="A944" t="s">
        <v>365</v>
      </c>
      <c r="B944" s="16" t="str">
        <f>INDEX(emprunts!C:C,MATCH($A944,emprunts!A:A,0))</f>
        <v>Société Générale</v>
      </c>
      <c r="C944" s="18">
        <f>INDEX(emprunts!M:M,MATCH($A944,emprunts!$A:$A,0))</f>
        <v>41820</v>
      </c>
      <c r="D944" s="18">
        <f>IF(INDEX(emprunts!O:O,MATCH($A944,emprunts!$A:$A,0))="",INDEX(emprunts!N:N,MATCH($A944,emprunts!$A:$A,0)),MIN(INDEX(emprunts!N:N,MATCH($A944,emprunts!$A:$A,0)),INDEX(emprunts!O:O,MATCH($A944,emprunts!$A:$A,0))))</f>
        <v>49460</v>
      </c>
      <c r="E944" s="52">
        <f>INDEX(emprunts!I:I,MATCH($A944,emprunts!$A:$A,0))</f>
        <v>20</v>
      </c>
      <c r="F944" s="18" t="str">
        <f>INDEX(emprunts!P:P,MATCH($A944,emprunts!$A:$A,0))</f>
        <v>Variable</v>
      </c>
      <c r="G944" s="126" t="str">
        <f>IF(LEFT(A944,3)="vx_","vx",INDEX(Categorie,MATCH($A944,emprunts!$A$2:$A$149,0)))</f>
        <v>Non_st</v>
      </c>
      <c r="H944">
        <v>2014</v>
      </c>
      <c r="I944">
        <f t="shared" si="161"/>
        <v>1</v>
      </c>
      <c r="N944"/>
      <c r="O944" s="58"/>
      <c r="Q944" s="58"/>
      <c r="R944" s="58"/>
      <c r="S944" s="58"/>
      <c r="T944" s="58"/>
      <c r="U944" s="58"/>
      <c r="V944" s="14" t="str">
        <f t="shared" si="158"/>
        <v/>
      </c>
      <c r="W944" s="77"/>
      <c r="X944" s="85">
        <f t="shared" si="162"/>
        <v>0</v>
      </c>
      <c r="Y944" s="21" t="str">
        <f t="shared" si="159"/>
        <v/>
      </c>
      <c r="AA944" s="55">
        <f t="shared" si="156"/>
        <v>0</v>
      </c>
      <c r="AB944" s="55" t="str">
        <f t="shared" si="157"/>
        <v/>
      </c>
      <c r="AC944" s="55">
        <f t="shared" si="164"/>
        <v>0</v>
      </c>
    </row>
    <row r="945" spans="1:29">
      <c r="A945" t="s">
        <v>366</v>
      </c>
      <c r="B945" s="16" t="str">
        <f>INDEX(emprunts!C:C,MATCH($A945,emprunts!A:A,0))</f>
        <v>Caisse d'Épargne</v>
      </c>
      <c r="C945" s="18">
        <f>INDEX(emprunts!M:M,MATCH($A945,emprunts!$A:$A,0))</f>
        <v>41912</v>
      </c>
      <c r="D945" s="18">
        <f>IF(INDEX(emprunts!O:O,MATCH($A945,emprunts!$A:$A,0))="",INDEX(emprunts!N:N,MATCH($A945,emprunts!$A:$A,0)),MIN(INDEX(emprunts!N:N,MATCH($A945,emprunts!$A:$A,0)),INDEX(emprunts!O:O,MATCH($A945,emprunts!$A:$A,0))))</f>
        <v>49217</v>
      </c>
      <c r="E945" s="52">
        <f>INDEX(emprunts!I:I,MATCH($A945,emprunts!$A:$A,0))</f>
        <v>20</v>
      </c>
      <c r="F945" s="18" t="str">
        <f>INDEX(emprunts!P:P,MATCH($A945,emprunts!$A:$A,0))</f>
        <v>Fixe</v>
      </c>
      <c r="G945" s="126" t="str">
        <f>IF(LEFT(A945,3)="vx_","vx",INDEX(Categorie,MATCH($A945,emprunts!$A$2:$A$149,0)))</f>
        <v>Non_st</v>
      </c>
      <c r="H945">
        <v>2014</v>
      </c>
      <c r="I945">
        <f t="shared" si="161"/>
        <v>1</v>
      </c>
      <c r="N945"/>
      <c r="O945" s="58">
        <v>10000000</v>
      </c>
      <c r="P945" s="4">
        <v>4.3999999999999997E-2</v>
      </c>
      <c r="Q945" s="58">
        <v>178441.41</v>
      </c>
      <c r="R945" s="58">
        <v>0</v>
      </c>
      <c r="S945" s="58"/>
      <c r="T945" s="58">
        <v>111166.67</v>
      </c>
      <c r="U945" s="58">
        <f>SUM(Q945:S945)</f>
        <v>178441.41</v>
      </c>
      <c r="V945" s="14">
        <f t="shared" si="158"/>
        <v>0</v>
      </c>
      <c r="W945" s="77"/>
      <c r="X945" s="85">
        <f t="shared" si="162"/>
        <v>0</v>
      </c>
      <c r="Y945" s="21">
        <f t="shared" si="159"/>
        <v>0.11489885782608694</v>
      </c>
      <c r="AA945" s="55">
        <f t="shared" si="156"/>
        <v>289608.08</v>
      </c>
      <c r="AB945" s="55" t="str">
        <f t="shared" si="157"/>
        <v/>
      </c>
      <c r="AC945" s="55">
        <f t="shared" si="164"/>
        <v>2520547.9452054799</v>
      </c>
    </row>
    <row r="946" spans="1:29">
      <c r="A946" t="s">
        <v>367</v>
      </c>
      <c r="B946" s="16" t="str">
        <f>INDEX(emprunts!C:C,MATCH($A946,emprunts!A:A,0))</f>
        <v>Caisse d'Épargne</v>
      </c>
      <c r="C946" s="18">
        <f>INDEX(emprunts!M:M,MATCH($A946,emprunts!$A:$A,0))</f>
        <v>42004</v>
      </c>
      <c r="D946" s="18">
        <f>IF(INDEX(emprunts!O:O,MATCH($A946,emprunts!$A:$A,0))="",INDEX(emprunts!N:N,MATCH($A946,emprunts!$A:$A,0)),MIN(INDEX(emprunts!N:N,MATCH($A946,emprunts!$A:$A,0)),INDEX(emprunts!O:O,MATCH($A946,emprunts!$A:$A,0))))</f>
        <v>49309</v>
      </c>
      <c r="E946" s="52">
        <f>INDEX(emprunts!I:I,MATCH($A946,emprunts!$A:$A,0))</f>
        <v>20</v>
      </c>
      <c r="F946" s="18" t="str">
        <f>INDEX(emprunts!P:P,MATCH($A946,emprunts!$A:$A,0))</f>
        <v>Fixe</v>
      </c>
      <c r="G946" s="126" t="str">
        <f>IF(LEFT(A946,3)="vx_","vx",INDEX(Categorie,MATCH($A946,emprunts!$A$2:$A$149,0)))</f>
        <v>Non_st</v>
      </c>
      <c r="H946">
        <v>2014</v>
      </c>
      <c r="I946">
        <f t="shared" si="161"/>
        <v>0</v>
      </c>
      <c r="N946"/>
      <c r="O946" s="58">
        <v>10000000</v>
      </c>
      <c r="P946" s="4">
        <v>4.24E-2</v>
      </c>
      <c r="Q946" s="58">
        <v>551.37</v>
      </c>
      <c r="R946" s="58">
        <v>0</v>
      </c>
      <c r="S946" s="58"/>
      <c r="T946" s="58">
        <v>0</v>
      </c>
      <c r="U946" s="58">
        <f>SUM(Q946:S946)</f>
        <v>551.37</v>
      </c>
      <c r="V946" s="14">
        <f t="shared" si="158"/>
        <v>0</v>
      </c>
      <c r="W946" s="77"/>
      <c r="X946" s="85">
        <f t="shared" si="162"/>
        <v>0</v>
      </c>
      <c r="Y946" s="21" t="e">
        <f t="shared" si="159"/>
        <v>#DIV/0!</v>
      </c>
      <c r="AA946" s="55">
        <f t="shared" si="156"/>
        <v>551.37</v>
      </c>
      <c r="AB946" s="55" t="str">
        <f t="shared" si="157"/>
        <v/>
      </c>
      <c r="AC946" s="55">
        <f t="shared" si="164"/>
        <v>0</v>
      </c>
    </row>
    <row r="947" spans="1:29">
      <c r="A947" t="s">
        <v>368</v>
      </c>
      <c r="B947" s="16" t="str">
        <f>INDEX(emprunts!C:C,MATCH($A947,emprunts!A:A,0))</f>
        <v>Crédit Foncier</v>
      </c>
      <c r="C947" s="18">
        <f>INDEX(emprunts!M:M,MATCH($A947,emprunts!$A:$A,0))</f>
        <v>42048</v>
      </c>
      <c r="D947" s="18">
        <f>IF(INDEX(emprunts!O:O,MATCH($A947,emprunts!$A:$A,0))="",INDEX(emprunts!N:N,MATCH($A947,emprunts!$A:$A,0)),MIN(INDEX(emprunts!N:N,MATCH($A947,emprunts!$A:$A,0)),INDEX(emprunts!O:O,MATCH($A947,emprunts!$A:$A,0))))</f>
        <v>47527</v>
      </c>
      <c r="E947" s="52">
        <f>INDEX(emprunts!I:I,MATCH($A947,emprunts!$A:$A,0))</f>
        <v>15</v>
      </c>
      <c r="F947" s="18" t="str">
        <f>INDEX(emprunts!P:P,MATCH($A947,emprunts!$A:$A,0))</f>
        <v>Fixe</v>
      </c>
      <c r="G947" s="126" t="str">
        <f>IF(LEFT(A947,3)="vx_","vx",INDEX(Categorie,MATCH($A947,emprunts!$A$2:$A$149,0)))</f>
        <v>Non_st</v>
      </c>
      <c r="H947">
        <v>2014</v>
      </c>
      <c r="I947">
        <f t="shared" si="161"/>
        <v>0</v>
      </c>
      <c r="N947"/>
      <c r="O947" s="58"/>
      <c r="V947" s="14" t="str">
        <f t="shared" si="158"/>
        <v/>
      </c>
      <c r="X947" s="85">
        <f t="shared" si="162"/>
        <v>0</v>
      </c>
      <c r="Y947" s="21" t="str">
        <f t="shared" si="159"/>
        <v/>
      </c>
      <c r="AA947" s="55">
        <f t="shared" si="156"/>
        <v>0</v>
      </c>
      <c r="AB947" s="55">
        <f t="shared" si="157"/>
        <v>0</v>
      </c>
      <c r="AC947" s="55">
        <f t="shared" si="164"/>
        <v>0</v>
      </c>
    </row>
    <row r="948" spans="1:29" ht="30">
      <c r="A948" s="1" t="s">
        <v>525</v>
      </c>
      <c r="B948" s="16" t="str">
        <f>INDEX(emprunts!C:C,MATCH($A948,emprunts!A:A,0))</f>
        <v>Dexia CL</v>
      </c>
      <c r="C948" s="18">
        <f>INDEX(emprunts!M:M,MATCH($A948,emprunts!$A:$A,0))</f>
        <v>42125</v>
      </c>
      <c r="D948" s="18">
        <f>IF(INDEX(emprunts!O:O,MATCH($A948,emprunts!$A:$A,0))="",INDEX(emprunts!N:N,MATCH($A948,emprunts!$A:$A,0)),MIN(INDEX(emprunts!N:N,MATCH($A948,emprunts!$A:$A,0)),INDEX(emprunts!O:O,MATCH($A948,emprunts!$A:$A,0))))</f>
        <v>49430</v>
      </c>
      <c r="E948" s="52">
        <f>INDEX(emprunts!I:I,MATCH($A948,emprunts!$A:$A,0))</f>
        <v>20</v>
      </c>
      <c r="F948" s="18" t="str">
        <f>INDEX(emprunts!P:P,MATCH($A948,emprunts!$A:$A,0))</f>
        <v>Fixe</v>
      </c>
      <c r="G948" s="126" t="str">
        <f>IF(LEFT(A948,3)="vx_","vx",INDEX(Categorie,MATCH($A948,emprunts!$A$2:$A$149,0)))</f>
        <v>Restr_aidé</v>
      </c>
      <c r="H948">
        <v>2014</v>
      </c>
      <c r="I948">
        <f t="shared" si="161"/>
        <v>0</v>
      </c>
      <c r="N948"/>
      <c r="O948" s="58"/>
      <c r="V948" s="14" t="str">
        <f t="shared" si="158"/>
        <v/>
      </c>
      <c r="X948" s="85">
        <f t="shared" si="162"/>
        <v>0</v>
      </c>
      <c r="Y948" s="21" t="str">
        <f t="shared" si="159"/>
        <v/>
      </c>
      <c r="AA948" s="55">
        <f t="shared" si="156"/>
        <v>0</v>
      </c>
      <c r="AB948" s="55">
        <f t="shared" si="157"/>
        <v>0</v>
      </c>
      <c r="AC948" s="55">
        <f t="shared" si="164"/>
        <v>0</v>
      </c>
    </row>
    <row r="949" spans="1:29" ht="30">
      <c r="A949" t="s">
        <v>369</v>
      </c>
      <c r="B949" s="16" t="str">
        <f>INDEX(emprunts!C:C,MATCH($A949,emprunts!A:A,0))</f>
        <v>Dexia CL</v>
      </c>
      <c r="C949" s="18">
        <f>INDEX(emprunts!M:M,MATCH($A949,emprunts!$A:$A,0))</f>
        <v>42339</v>
      </c>
      <c r="D949" s="18">
        <f>IF(INDEX(emprunts!O:O,MATCH($A949,emprunts!$A:$A,0))="",INDEX(emprunts!N:N,MATCH($A949,emprunts!$A:$A,0)),MIN(INDEX(emprunts!N:N,MATCH($A949,emprunts!$A:$A,0)),INDEX(emprunts!O:O,MATCH($A949,emprunts!$A:$A,0))))</f>
        <v>51471</v>
      </c>
      <c r="E949" s="52">
        <f>INDEX(emprunts!I:I,MATCH($A949,emprunts!$A:$A,0))</f>
        <v>25</v>
      </c>
      <c r="F949" s="18" t="str">
        <f>INDEX(emprunts!P:P,MATCH($A949,emprunts!$A:$A,0))</f>
        <v>Fixe</v>
      </c>
      <c r="G949" s="126" t="str">
        <f>IF(LEFT(A949,3)="vx_","vx",INDEX(Categorie,MATCH($A949,emprunts!$A$2:$A$149,0)))</f>
        <v>Restr_sec</v>
      </c>
      <c r="H949">
        <v>2014</v>
      </c>
      <c r="I949">
        <f t="shared" si="161"/>
        <v>0</v>
      </c>
      <c r="N949"/>
      <c r="O949" s="58"/>
      <c r="V949" s="14" t="str">
        <f t="shared" si="158"/>
        <v/>
      </c>
      <c r="X949" s="85">
        <f t="shared" si="162"/>
        <v>0</v>
      </c>
      <c r="Y949" s="21" t="str">
        <f t="shared" si="159"/>
        <v/>
      </c>
      <c r="AA949" s="55">
        <f t="shared" si="156"/>
        <v>0</v>
      </c>
      <c r="AB949" s="55">
        <f t="shared" si="157"/>
        <v>0</v>
      </c>
      <c r="AC949" s="55">
        <f t="shared" si="164"/>
        <v>0</v>
      </c>
    </row>
    <row r="950" spans="1:29">
      <c r="A950" t="s">
        <v>10</v>
      </c>
      <c r="B950" s="16" t="str">
        <f>INDEX(emprunts!C:C,MATCH($A950,emprunts!A:A,0))</f>
        <v>Crédit Mutuel</v>
      </c>
      <c r="C950" s="18">
        <f>INDEX(emprunts!M:M,MATCH($A950,emprunts!$A:$A,0))</f>
        <v>36950</v>
      </c>
      <c r="D950" s="18">
        <f>IF(INDEX(emprunts!O:O,MATCH($A950,emprunts!$A:$A,0))="",INDEX(emprunts!N:N,MATCH($A950,emprunts!$A:$A,0)),MIN(INDEX(emprunts!N:N,MATCH($A950,emprunts!$A:$A,0)),INDEX(emprunts!O:O,MATCH($A950,emprunts!$A:$A,0))))</f>
        <v>42429</v>
      </c>
      <c r="E950" s="52">
        <f>INDEX(emprunts!I:I,MATCH($A950,emprunts!$A:$A,0))</f>
        <v>15</v>
      </c>
      <c r="F950" s="18" t="str">
        <f>INDEX(emprunts!P:P,MATCH($A950,emprunts!$A:$A,0))</f>
        <v>Fixe</v>
      </c>
      <c r="G950" s="126" t="str">
        <f>IF(LEFT(A950,3)="vx_","vx",INDEX(Categorie,MATCH($A950,emprunts!$A$2:$A$149,0)))</f>
        <v>Non_st</v>
      </c>
      <c r="H950">
        <v>2015</v>
      </c>
      <c r="I950">
        <f t="shared" si="161"/>
        <v>1</v>
      </c>
      <c r="L950" s="5">
        <v>37315</v>
      </c>
      <c r="M950" s="5">
        <v>38045</v>
      </c>
      <c r="N950"/>
      <c r="O950" s="58">
        <v>46907</v>
      </c>
      <c r="P950" s="75">
        <v>2.7900000000000001E-2</v>
      </c>
      <c r="Q950" s="58">
        <v>2629.63</v>
      </c>
      <c r="R950" s="58">
        <v>46907.39</v>
      </c>
      <c r="S950" s="58"/>
      <c r="T950" s="58">
        <v>1099.27</v>
      </c>
      <c r="U950" s="58">
        <f>SUM(Q950:S950)</f>
        <v>49537.02</v>
      </c>
      <c r="V950" s="14">
        <f t="shared" si="158"/>
        <v>0</v>
      </c>
      <c r="W950" s="77"/>
      <c r="X950" s="85">
        <f t="shared" si="162"/>
        <v>0</v>
      </c>
      <c r="Y950" s="21">
        <f t="shared" si="159"/>
        <v>2.1724028163454319E-2</v>
      </c>
      <c r="AA950" s="55">
        <f t="shared" si="156"/>
        <v>1524.33</v>
      </c>
      <c r="AB950" s="55">
        <f t="shared" si="157"/>
        <v>-0.61000000000058208</v>
      </c>
      <c r="AC950" s="55">
        <f t="shared" si="164"/>
        <v>70167.925972602752</v>
      </c>
    </row>
    <row r="951" spans="1:29">
      <c r="A951" t="s">
        <v>14</v>
      </c>
      <c r="B951" s="16" t="str">
        <f>INDEX(emprunts!C:C,MATCH($A951,emprunts!A:A,0))</f>
        <v>CDC</v>
      </c>
      <c r="C951" s="18">
        <f>INDEX(emprunts!M:M,MATCH($A951,emprunts!$A:$A,0))</f>
        <v>37006</v>
      </c>
      <c r="D951" s="18">
        <f>IF(INDEX(emprunts!O:O,MATCH($A951,emprunts!$A:$A,0))="",INDEX(emprunts!N:N,MATCH($A951,emprunts!$A:$A,0)),MIN(INDEX(emprunts!N:N,MATCH($A951,emprunts!$A:$A,0)),INDEX(emprunts!O:O,MATCH($A951,emprunts!$A:$A,0))))</f>
        <v>38102</v>
      </c>
      <c r="E951" s="52">
        <f>INDEX(emprunts!I:I,MATCH($A951,emprunts!$A:$A,0))</f>
        <v>3</v>
      </c>
      <c r="F951" s="18" t="str">
        <f>INDEX(emprunts!P:P,MATCH($A951,emprunts!$A:$A,0))</f>
        <v>Fixe</v>
      </c>
      <c r="G951" s="126" t="str">
        <f>IF(LEFT(A951,3)="vx_","vx",INDEX(Categorie,MATCH($A951,emprunts!$A$2:$A$149,0)))</f>
        <v>Non_st</v>
      </c>
      <c r="H951">
        <v>2015</v>
      </c>
      <c r="I951">
        <f t="shared" si="161"/>
        <v>1</v>
      </c>
      <c r="N951"/>
      <c r="O951" s="58"/>
      <c r="P951" s="58"/>
      <c r="Q951" s="58"/>
      <c r="R951" s="58"/>
      <c r="S951" s="58"/>
      <c r="T951" s="58"/>
      <c r="U951" s="58"/>
      <c r="V951" s="14" t="str">
        <f t="shared" si="158"/>
        <v/>
      </c>
      <c r="W951" s="77"/>
      <c r="X951" s="85">
        <f t="shared" si="162"/>
        <v>0</v>
      </c>
      <c r="Y951" s="21" t="str">
        <f t="shared" si="159"/>
        <v/>
      </c>
      <c r="AA951" s="55">
        <f t="shared" si="156"/>
        <v>0</v>
      </c>
      <c r="AB951" s="55">
        <f t="shared" si="157"/>
        <v>0</v>
      </c>
      <c r="AC951" s="55">
        <f t="shared" si="164"/>
        <v>0</v>
      </c>
    </row>
    <row r="952" spans="1:29">
      <c r="A952" t="s">
        <v>22</v>
      </c>
      <c r="B952" s="16" t="str">
        <f>INDEX(emprunts!C:C,MATCH($A952,emprunts!A:A,0))</f>
        <v>Dexia CL</v>
      </c>
      <c r="C952" s="18">
        <f>INDEX(emprunts!M:M,MATCH($A952,emprunts!$A:$A,0))</f>
        <v>37221</v>
      </c>
      <c r="D952" s="18">
        <f>IF(INDEX(emprunts!O:O,MATCH($A952,emprunts!$A:$A,0))="",INDEX(emprunts!N:N,MATCH($A952,emprunts!$A:$A,0)),MIN(INDEX(emprunts!N:N,MATCH($A952,emprunts!$A:$A,0)),INDEX(emprunts!O:O,MATCH($A952,emprunts!$A:$A,0))))</f>
        <v>38777</v>
      </c>
      <c r="E952" s="52">
        <f>INDEX(emprunts!I:I,MATCH($A952,emprunts!$A:$A,0))</f>
        <v>20</v>
      </c>
      <c r="F952" s="18" t="str">
        <f>INDEX(emprunts!P:P,MATCH($A952,emprunts!$A:$A,0))</f>
        <v>Annulable</v>
      </c>
      <c r="G952" s="126" t="str">
        <f>IF(LEFT(A952,3)="vx_","vx",INDEX(Categorie,MATCH($A952,emprunts!$A$2:$A$149,0)))</f>
        <v>Struct</v>
      </c>
      <c r="H952">
        <v>2015</v>
      </c>
      <c r="I952">
        <f t="shared" si="161"/>
        <v>1</v>
      </c>
      <c r="N952"/>
      <c r="O952" s="58"/>
      <c r="P952" s="58"/>
      <c r="Q952" s="58"/>
      <c r="R952" s="58"/>
      <c r="S952" s="58"/>
      <c r="T952" s="58"/>
      <c r="U952" s="58"/>
      <c r="V952" s="14" t="str">
        <f t="shared" si="158"/>
        <v/>
      </c>
      <c r="W952" s="77"/>
      <c r="X952" s="85">
        <f t="shared" si="162"/>
        <v>0</v>
      </c>
      <c r="Y952" s="21" t="str">
        <f t="shared" si="159"/>
        <v/>
      </c>
      <c r="AA952" s="55">
        <f t="shared" si="156"/>
        <v>0</v>
      </c>
      <c r="AB952" s="55">
        <f t="shared" si="157"/>
        <v>0</v>
      </c>
      <c r="AC952" s="55">
        <f t="shared" si="164"/>
        <v>0</v>
      </c>
    </row>
    <row r="953" spans="1:29">
      <c r="A953" t="s">
        <v>26</v>
      </c>
      <c r="B953" s="16" t="str">
        <f>INDEX(emprunts!C:C,MATCH($A953,emprunts!A:A,0))</f>
        <v>CDC</v>
      </c>
      <c r="C953" s="18">
        <f>INDEX(emprunts!M:M,MATCH($A953,emprunts!$A:$A,0))</f>
        <v>37281</v>
      </c>
      <c r="D953" s="18">
        <f>IF(INDEX(emprunts!O:O,MATCH($A953,emprunts!$A:$A,0))="",INDEX(emprunts!N:N,MATCH($A953,emprunts!$A:$A,0)),MIN(INDEX(emprunts!N:N,MATCH($A953,emprunts!$A:$A,0)),INDEX(emprunts!O:O,MATCH($A953,emprunts!$A:$A,0))))</f>
        <v>39838</v>
      </c>
      <c r="E953" s="52">
        <f>INDEX(emprunts!I:I,MATCH($A953,emprunts!$A:$A,0))</f>
        <v>7</v>
      </c>
      <c r="F953" s="18" t="str">
        <f>INDEX(emprunts!P:P,MATCH($A953,emprunts!$A:$A,0))</f>
        <v>Fixe</v>
      </c>
      <c r="G953" s="126" t="str">
        <f>IF(LEFT(A953,3)="vx_","vx",INDEX(Categorie,MATCH($A953,emprunts!$A$2:$A$149,0)))</f>
        <v>Non_st</v>
      </c>
      <c r="H953">
        <v>2015</v>
      </c>
      <c r="I953">
        <f t="shared" si="161"/>
        <v>1</v>
      </c>
      <c r="N953"/>
      <c r="O953" s="58"/>
      <c r="P953" s="58"/>
      <c r="Q953" s="58"/>
      <c r="R953" s="58"/>
      <c r="S953" s="58"/>
      <c r="T953" s="58"/>
      <c r="U953" s="58"/>
      <c r="V953" s="14" t="str">
        <f t="shared" si="158"/>
        <v/>
      </c>
      <c r="W953" s="77"/>
      <c r="X953" s="85">
        <f t="shared" si="162"/>
        <v>0</v>
      </c>
      <c r="Y953" s="21" t="str">
        <f t="shared" si="159"/>
        <v/>
      </c>
      <c r="AA953" s="55">
        <f t="shared" si="156"/>
        <v>0</v>
      </c>
      <c r="AB953" s="55">
        <f t="shared" si="157"/>
        <v>0</v>
      </c>
      <c r="AC953" s="55">
        <f t="shared" si="164"/>
        <v>0</v>
      </c>
    </row>
    <row r="954" spans="1:29">
      <c r="A954" t="s">
        <v>28</v>
      </c>
      <c r="B954" s="16" t="str">
        <f>INDEX(emprunts!C:C,MATCH($A954,emprunts!A:A,0))</f>
        <v>CDC</v>
      </c>
      <c r="C954" s="18">
        <f>INDEX(emprunts!M:M,MATCH($A954,emprunts!$A:$A,0))</f>
        <v>37288</v>
      </c>
      <c r="D954" s="18">
        <f>IF(INDEX(emprunts!O:O,MATCH($A954,emprunts!$A:$A,0))="",INDEX(emprunts!N:N,MATCH($A954,emprunts!$A:$A,0)),MIN(INDEX(emprunts!N:N,MATCH($A954,emprunts!$A:$A,0)),INDEX(emprunts!O:O,MATCH($A954,emprunts!$A:$A,0))))</f>
        <v>44593</v>
      </c>
      <c r="E954" s="52">
        <f>INDEX(emprunts!I:I,MATCH($A954,emprunts!$A:$A,0))</f>
        <v>20</v>
      </c>
      <c r="F954" s="18" t="str">
        <f>INDEX(emprunts!P:P,MATCH($A954,emprunts!$A:$A,0))</f>
        <v>Livret A</v>
      </c>
      <c r="G954" s="126" t="str">
        <f>IF(LEFT(A954,3)="vx_","vx",INDEX(Categorie,MATCH($A954,emprunts!$A$2:$A$149,0)))</f>
        <v>Livr_A</v>
      </c>
      <c r="H954">
        <v>2015</v>
      </c>
      <c r="I954">
        <f t="shared" si="161"/>
        <v>1</v>
      </c>
      <c r="L954" s="5">
        <v>37653</v>
      </c>
      <c r="M954" s="5">
        <v>37653</v>
      </c>
      <c r="N954" s="14">
        <v>2137796</v>
      </c>
      <c r="O954" s="58">
        <v>862484</v>
      </c>
      <c r="P954" s="75">
        <v>1.0200000000000001E-2</v>
      </c>
      <c r="Q954" s="58">
        <v>12246.08</v>
      </c>
      <c r="R954" s="58">
        <v>117202.97</v>
      </c>
      <c r="S954" s="58"/>
      <c r="T954" s="58">
        <v>7868.69</v>
      </c>
      <c r="U954" s="58">
        <f>SUM(Q954:S954)</f>
        <v>129449.05</v>
      </c>
      <c r="V954" s="14">
        <f t="shared" si="158"/>
        <v>0</v>
      </c>
      <c r="W954" s="77"/>
      <c r="X954" s="85">
        <f t="shared" si="162"/>
        <v>0</v>
      </c>
      <c r="Y954" s="21">
        <f t="shared" si="159"/>
        <v>9.7351298649406177E-3</v>
      </c>
      <c r="AA954" s="55">
        <f t="shared" si="156"/>
        <v>8942.32</v>
      </c>
      <c r="AB954" s="55">
        <f t="shared" si="157"/>
        <v>-3.0000000027939677E-2</v>
      </c>
      <c r="AC954" s="55">
        <f t="shared" si="164"/>
        <v>918561.96312328766</v>
      </c>
    </row>
    <row r="955" spans="1:29">
      <c r="A955" t="s">
        <v>31</v>
      </c>
      <c r="B955" s="16" t="str">
        <f>INDEX(emprunts!C:C,MATCH($A955,emprunts!A:A,0))</f>
        <v>CDC</v>
      </c>
      <c r="C955" s="18">
        <f>INDEX(emprunts!M:M,MATCH($A955,emprunts!$A:$A,0))</f>
        <v>37347</v>
      </c>
      <c r="D955" s="18">
        <f>IF(INDEX(emprunts!O:O,MATCH($A955,emprunts!$A:$A,0))="",INDEX(emprunts!N:N,MATCH($A955,emprunts!$A:$A,0)),MIN(INDEX(emprunts!N:N,MATCH($A955,emprunts!$A:$A,0)),INDEX(emprunts!O:O,MATCH($A955,emprunts!$A:$A,0))))</f>
        <v>44652</v>
      </c>
      <c r="E955" s="52">
        <f>INDEX(emprunts!I:I,MATCH($A955,emprunts!$A:$A,0))</f>
        <v>20</v>
      </c>
      <c r="F955" s="18" t="str">
        <f>INDEX(emprunts!P:P,MATCH($A955,emprunts!$A:$A,0))</f>
        <v>Livret A</v>
      </c>
      <c r="G955" s="126" t="str">
        <f>IF(LEFT(A955,3)="vx_","vx",INDEX(Categorie,MATCH($A955,emprunts!$A$2:$A$149,0)))</f>
        <v>Livr_A</v>
      </c>
      <c r="H955">
        <v>2015</v>
      </c>
      <c r="I955">
        <f t="shared" si="161"/>
        <v>1</v>
      </c>
      <c r="N955"/>
      <c r="O955" s="58"/>
      <c r="P955" s="58"/>
      <c r="Q955" s="58"/>
      <c r="R955" s="58"/>
      <c r="S955" s="58"/>
      <c r="T955" s="58"/>
      <c r="U955" s="58"/>
      <c r="V955" s="14" t="str">
        <f t="shared" si="158"/>
        <v/>
      </c>
      <c r="W955" s="77"/>
      <c r="X955" s="85">
        <f t="shared" si="162"/>
        <v>0</v>
      </c>
      <c r="Y955" s="21" t="str">
        <f t="shared" si="159"/>
        <v/>
      </c>
      <c r="AA955" s="55">
        <f t="shared" ref="AA955:AA1018" si="165">T955+Q955+S955-SUMPRODUCT(($A$123:$A$1367=$A955)*($H$123:$H$1367=$H955-1),$T$123:$T$1367)</f>
        <v>0</v>
      </c>
      <c r="AB955" s="55">
        <f t="shared" ref="AB955:AB1018" si="166">IF(YEAR(C955)=H955,"",O955+R955+X955-W955-SUMPRODUCT(($A$123:$A$1367=$A955)*($H$123:$H$1367=$H955-1),$O$123:$O$1367))</f>
        <v>0</v>
      </c>
      <c r="AC955" s="55">
        <f t="shared" si="164"/>
        <v>0</v>
      </c>
    </row>
    <row r="956" spans="1:29">
      <c r="A956" t="s">
        <v>33</v>
      </c>
      <c r="B956" s="16" t="str">
        <f>INDEX(emprunts!C:C,MATCH($A956,emprunts!A:A,0))</f>
        <v>Crédit Agricole</v>
      </c>
      <c r="C956" s="18">
        <f>INDEX(emprunts!M:M,MATCH($A956,emprunts!$A:$A,0))</f>
        <v>37361</v>
      </c>
      <c r="D956" s="18">
        <f>IF(INDEX(emprunts!O:O,MATCH($A956,emprunts!$A:$A,0))="",INDEX(emprunts!N:N,MATCH($A956,emprunts!$A:$A,0)),MIN(INDEX(emprunts!N:N,MATCH($A956,emprunts!$A:$A,0)),INDEX(emprunts!O:O,MATCH($A956,emprunts!$A:$A,0))))</f>
        <v>42843</v>
      </c>
      <c r="E956" s="52">
        <f>INDEX(emprunts!I:I,MATCH($A956,emprunts!$A:$A,0))</f>
        <v>15</v>
      </c>
      <c r="F956" s="18" t="str">
        <f>INDEX(emprunts!P:P,MATCH($A956,emprunts!$A:$A,0))</f>
        <v>Barrière hors zone EUR</v>
      </c>
      <c r="G956" s="126" t="str">
        <f>IF(LEFT(A956,3)="vx_","vx",INDEX(Categorie,MATCH($A956,emprunts!$A$2:$A$149,0)))</f>
        <v>Struct</v>
      </c>
      <c r="H956">
        <v>2015</v>
      </c>
      <c r="I956">
        <f t="shared" si="161"/>
        <v>1</v>
      </c>
      <c r="L956" s="5">
        <v>37726</v>
      </c>
      <c r="M956" s="5">
        <v>37726</v>
      </c>
      <c r="N956"/>
      <c r="O956" s="58">
        <v>2160252</v>
      </c>
      <c r="P956" s="75">
        <v>5.0000000000000001E-4</v>
      </c>
      <c r="Q956" s="58">
        <v>4460.26</v>
      </c>
      <c r="R956" s="58">
        <v>1025651.12</v>
      </c>
      <c r="S956" s="58"/>
      <c r="T956" s="58">
        <v>0</v>
      </c>
      <c r="U956" s="58">
        <f>SUM(Q956:S956)</f>
        <v>1030111.38</v>
      </c>
      <c r="V956" s="14">
        <f t="shared" si="158"/>
        <v>0</v>
      </c>
      <c r="W956" s="77"/>
      <c r="X956" s="85">
        <f t="shared" si="162"/>
        <v>0</v>
      </c>
      <c r="Y956" s="21">
        <f t="shared" si="159"/>
        <v>3.9619183776658207E-4</v>
      </c>
      <c r="AA956" s="55">
        <f t="shared" si="165"/>
        <v>1056.1500000000001</v>
      </c>
      <c r="AB956" s="55">
        <f t="shared" si="166"/>
        <v>0.12000000011175871</v>
      </c>
      <c r="AC956" s="55">
        <f t="shared" si="164"/>
        <v>2665754.0598356165</v>
      </c>
    </row>
    <row r="957" spans="1:29">
      <c r="A957" t="s">
        <v>38</v>
      </c>
      <c r="B957" s="16" t="str">
        <f>INDEX(emprunts!C:C,MATCH($A957,emprunts!A:A,0))</f>
        <v>Dexia CL</v>
      </c>
      <c r="C957" s="18">
        <f>INDEX(emprunts!M:M,MATCH($A957,emprunts!$A:$A,0))</f>
        <v>37377</v>
      </c>
      <c r="D957" s="18">
        <f>IF(INDEX(emprunts!O:O,MATCH($A957,emprunts!$A:$A,0))="",INDEX(emprunts!N:N,MATCH($A957,emprunts!$A:$A,0)),MIN(INDEX(emprunts!N:N,MATCH($A957,emprunts!$A:$A,0)),INDEX(emprunts!O:O,MATCH($A957,emprunts!$A:$A,0))))</f>
        <v>38087</v>
      </c>
      <c r="E957" s="52">
        <f>INDEX(emprunts!I:I,MATCH($A957,emprunts!$A:$A,0))</f>
        <v>17</v>
      </c>
      <c r="F957" s="18" t="str">
        <f>INDEX(emprunts!P:P,MATCH($A957,emprunts!$A:$A,0))</f>
        <v>Barrière</v>
      </c>
      <c r="G957" s="126" t="str">
        <f>IF(LEFT(A957,3)="vx_","vx",INDEX(Categorie,MATCH($A957,emprunts!$A$2:$A$149,0)))</f>
        <v>Struct</v>
      </c>
      <c r="H957">
        <v>2015</v>
      </c>
      <c r="I957">
        <f t="shared" si="161"/>
        <v>1</v>
      </c>
      <c r="N957"/>
      <c r="O957" s="58"/>
      <c r="P957" s="58"/>
      <c r="Q957" s="58"/>
      <c r="R957" s="58"/>
      <c r="S957" s="58"/>
      <c r="T957" s="58"/>
      <c r="U957" s="58"/>
      <c r="V957" s="14" t="str">
        <f t="shared" si="158"/>
        <v/>
      </c>
      <c r="W957" s="77"/>
      <c r="X957" s="85">
        <f t="shared" si="162"/>
        <v>0</v>
      </c>
      <c r="Y957" s="21" t="str">
        <f t="shared" si="159"/>
        <v/>
      </c>
      <c r="AA957" s="55">
        <f t="shared" si="165"/>
        <v>0</v>
      </c>
      <c r="AB957" s="55">
        <f t="shared" si="166"/>
        <v>0</v>
      </c>
      <c r="AC957" s="55">
        <f t="shared" si="164"/>
        <v>0</v>
      </c>
    </row>
    <row r="958" spans="1:29">
      <c r="A958" t="s">
        <v>43</v>
      </c>
      <c r="B958" s="16" t="str">
        <f>INDEX(emprunts!C:C,MATCH($A958,emprunts!A:A,0))</f>
        <v>Dexia CL</v>
      </c>
      <c r="C958" s="18">
        <f>INDEX(emprunts!M:M,MATCH($A958,emprunts!$A:$A,0))</f>
        <v>37377</v>
      </c>
      <c r="D958" s="18">
        <f>IF(INDEX(emprunts!O:O,MATCH($A958,emprunts!$A:$A,0))="",INDEX(emprunts!N:N,MATCH($A958,emprunts!$A:$A,0)),MIN(INDEX(emprunts!N:N,MATCH($A958,emprunts!$A:$A,0)),INDEX(emprunts!O:O,MATCH($A958,emprunts!$A:$A,0))))</f>
        <v>38534</v>
      </c>
      <c r="E958" s="52">
        <f>INDEX(emprunts!I:I,MATCH($A958,emprunts!$A:$A,0))</f>
        <v>19.25</v>
      </c>
      <c r="F958" s="18" t="str">
        <f>INDEX(emprunts!P:P,MATCH($A958,emprunts!$A:$A,0))</f>
        <v>Barrière hors zone EUR</v>
      </c>
      <c r="G958" s="126" t="str">
        <f>IF(LEFT(A958,3)="vx_","vx",INDEX(Categorie,MATCH($A958,emprunts!$A$2:$A$149,0)))</f>
        <v>Struct</v>
      </c>
      <c r="H958">
        <v>2015</v>
      </c>
      <c r="I958">
        <f t="shared" si="161"/>
        <v>1</v>
      </c>
      <c r="N958"/>
      <c r="O958" s="58"/>
      <c r="P958" s="58"/>
      <c r="Q958" s="58"/>
      <c r="R958" s="58"/>
      <c r="S958" s="58"/>
      <c r="T958" s="58"/>
      <c r="U958" s="58"/>
      <c r="V958" s="14" t="str">
        <f t="shared" si="158"/>
        <v/>
      </c>
      <c r="W958" s="77"/>
      <c r="X958" s="85">
        <f t="shared" si="162"/>
        <v>0</v>
      </c>
      <c r="Y958" s="21" t="str">
        <f t="shared" si="159"/>
        <v/>
      </c>
      <c r="AA958" s="55">
        <f t="shared" si="165"/>
        <v>0</v>
      </c>
      <c r="AB958" s="55">
        <f t="shared" si="166"/>
        <v>0</v>
      </c>
      <c r="AC958" s="55">
        <f t="shared" si="164"/>
        <v>0</v>
      </c>
    </row>
    <row r="959" spans="1:29">
      <c r="A959" t="s">
        <v>46</v>
      </c>
      <c r="B959" s="16" t="str">
        <f>INDEX(emprunts!C:C,MATCH($A959,emprunts!A:A,0))</f>
        <v>Dexia CL</v>
      </c>
      <c r="C959" s="18">
        <f>INDEX(emprunts!M:M,MATCH($A959,emprunts!$A:$A,0))</f>
        <v>37377</v>
      </c>
      <c r="D959" s="18">
        <f>IF(INDEX(emprunts!O:O,MATCH($A959,emprunts!$A:$A,0))="",INDEX(emprunts!N:N,MATCH($A959,emprunts!$A:$A,0)),MIN(INDEX(emprunts!N:N,MATCH($A959,emprunts!$A:$A,0)),INDEX(emprunts!O:O,MATCH($A959,emprunts!$A:$A,0))))</f>
        <v>38087</v>
      </c>
      <c r="E959" s="52">
        <f>INDEX(emprunts!I:I,MATCH($A959,emprunts!$A:$A,0))</f>
        <v>19.25</v>
      </c>
      <c r="F959" s="18" t="str">
        <f>INDEX(emprunts!P:P,MATCH($A959,emprunts!$A:$A,0))</f>
        <v>Barrière hors zone EUR</v>
      </c>
      <c r="G959" s="126" t="str">
        <f>IF(LEFT(A959,3)="vx_","vx",INDEX(Categorie,MATCH($A959,emprunts!$A$2:$A$149,0)))</f>
        <v>Struct</v>
      </c>
      <c r="H959">
        <v>2015</v>
      </c>
      <c r="I959">
        <f t="shared" si="161"/>
        <v>1</v>
      </c>
      <c r="N959"/>
      <c r="O959" s="58"/>
      <c r="P959" s="58"/>
      <c r="Q959" s="58"/>
      <c r="R959" s="58"/>
      <c r="S959" s="58"/>
      <c r="T959" s="58"/>
      <c r="U959" s="58"/>
      <c r="V959" s="14" t="str">
        <f t="shared" si="158"/>
        <v/>
      </c>
      <c r="W959" s="77"/>
      <c r="X959" s="85">
        <f t="shared" si="162"/>
        <v>0</v>
      </c>
      <c r="Y959" s="21" t="str">
        <f t="shared" si="159"/>
        <v/>
      </c>
      <c r="AA959" s="55">
        <f t="shared" si="165"/>
        <v>0</v>
      </c>
      <c r="AB959" s="55">
        <f t="shared" si="166"/>
        <v>0</v>
      </c>
      <c r="AC959" s="55">
        <f t="shared" si="164"/>
        <v>0</v>
      </c>
    </row>
    <row r="960" spans="1:29">
      <c r="A960" t="s">
        <v>51</v>
      </c>
      <c r="B960" s="16" t="str">
        <f>INDEX(emprunts!C:C,MATCH($A960,emprunts!A:A,0))</f>
        <v>Dexia CL</v>
      </c>
      <c r="C960" s="18">
        <f>INDEX(emprunts!M:M,MATCH($A960,emprunts!$A:$A,0))</f>
        <v>37377</v>
      </c>
      <c r="D960" s="18">
        <f>IF(INDEX(emprunts!O:O,MATCH($A960,emprunts!$A:$A,0))="",INDEX(emprunts!N:N,MATCH($A960,emprunts!$A:$A,0)),MIN(INDEX(emprunts!N:N,MATCH($A960,emprunts!$A:$A,0)),INDEX(emprunts!O:O,MATCH($A960,emprunts!$A:$A,0))))</f>
        <v>38193</v>
      </c>
      <c r="E960" s="52">
        <f>INDEX(emprunts!I:I,MATCH($A960,emprunts!$A:$A,0))</f>
        <v>8</v>
      </c>
      <c r="F960" s="18" t="str">
        <f>INDEX(emprunts!P:P,MATCH($A960,emprunts!$A:$A,0))</f>
        <v>Variable hors zone EUR</v>
      </c>
      <c r="G960" s="126" t="str">
        <f>IF(LEFT(A960,3)="vx_","vx",INDEX(Categorie,MATCH($A960,emprunts!$A$2:$A$149,0)))</f>
        <v>Struct</v>
      </c>
      <c r="H960">
        <v>2015</v>
      </c>
      <c r="I960">
        <f t="shared" si="161"/>
        <v>1</v>
      </c>
      <c r="N960"/>
      <c r="O960" s="58"/>
      <c r="P960" s="58"/>
      <c r="Q960" s="58"/>
      <c r="R960" s="58"/>
      <c r="S960" s="58"/>
      <c r="T960" s="58"/>
      <c r="U960" s="58"/>
      <c r="V960" s="14" t="str">
        <f t="shared" si="158"/>
        <v/>
      </c>
      <c r="W960" s="77"/>
      <c r="X960" s="85">
        <f t="shared" si="162"/>
        <v>0</v>
      </c>
      <c r="Y960" s="21" t="str">
        <f t="shared" si="159"/>
        <v/>
      </c>
      <c r="AA960" s="55">
        <f t="shared" si="165"/>
        <v>0</v>
      </c>
      <c r="AB960" s="55">
        <f t="shared" si="166"/>
        <v>0</v>
      </c>
      <c r="AC960" s="55">
        <f t="shared" si="164"/>
        <v>0</v>
      </c>
    </row>
    <row r="961" spans="1:29">
      <c r="A961" t="s">
        <v>55</v>
      </c>
      <c r="B961" s="16" t="str">
        <f>INDEX(emprunts!C:C,MATCH($A961,emprunts!A:A,0))</f>
        <v>CDC</v>
      </c>
      <c r="C961" s="18">
        <f>INDEX(emprunts!M:M,MATCH($A961,emprunts!$A:$A,0))</f>
        <v>37530</v>
      </c>
      <c r="D961" s="18">
        <f>IF(INDEX(emprunts!O:O,MATCH($A961,emprunts!$A:$A,0))="",INDEX(emprunts!N:N,MATCH($A961,emprunts!$A:$A,0)),MIN(INDEX(emprunts!N:N,MATCH($A961,emprunts!$A:$A,0)),INDEX(emprunts!O:O,MATCH($A961,emprunts!$A:$A,0))))</f>
        <v>37530</v>
      </c>
      <c r="E961" s="52">
        <f>INDEX(emprunts!I:I,MATCH($A961,emprunts!$A:$A,0))</f>
        <v>20</v>
      </c>
      <c r="F961" s="18" t="str">
        <f>INDEX(emprunts!P:P,MATCH($A961,emprunts!$A:$A,0))</f>
        <v>Livret A</v>
      </c>
      <c r="G961" s="126" t="str">
        <f>IF(LEFT(A961,3)="vx_","vx",INDEX(Categorie,MATCH($A961,emprunts!$A$2:$A$149,0)))</f>
        <v>Livr_A</v>
      </c>
      <c r="H961">
        <v>2015</v>
      </c>
      <c r="I961">
        <f t="shared" si="161"/>
        <v>1</v>
      </c>
      <c r="N961"/>
      <c r="O961" s="58"/>
      <c r="P961" s="58"/>
      <c r="Q961" s="58"/>
      <c r="R961" s="58"/>
      <c r="S961" s="58"/>
      <c r="T961" s="58"/>
      <c r="U961" s="58"/>
      <c r="V961" s="14" t="str">
        <f t="shared" si="158"/>
        <v/>
      </c>
      <c r="W961" s="77"/>
      <c r="X961" s="85">
        <f t="shared" si="162"/>
        <v>0</v>
      </c>
      <c r="Y961" s="21" t="str">
        <f t="shared" si="159"/>
        <v/>
      </c>
      <c r="AA961" s="55">
        <f t="shared" si="165"/>
        <v>0</v>
      </c>
      <c r="AB961" s="55">
        <f t="shared" si="166"/>
        <v>0</v>
      </c>
      <c r="AC961" s="55">
        <f t="shared" si="164"/>
        <v>0</v>
      </c>
    </row>
    <row r="962" spans="1:29">
      <c r="A962" t="s">
        <v>57</v>
      </c>
      <c r="B962" s="16" t="str">
        <f>INDEX(emprunts!C:C,MATCH($A962,emprunts!A:A,0))</f>
        <v>Dexia CL</v>
      </c>
      <c r="C962" s="18">
        <f>INDEX(emprunts!M:M,MATCH($A962,emprunts!$A:$A,0))</f>
        <v>37533</v>
      </c>
      <c r="D962" s="18">
        <f>IF(INDEX(emprunts!O:O,MATCH($A962,emprunts!$A:$A,0))="",INDEX(emprunts!N:N,MATCH($A962,emprunts!$A:$A,0)),MIN(INDEX(emprunts!N:N,MATCH($A962,emprunts!$A:$A,0)),INDEX(emprunts!O:O,MATCH($A962,emprunts!$A:$A,0))))</f>
        <v>38193</v>
      </c>
      <c r="E962" s="52">
        <f>INDEX(emprunts!I:I,MATCH($A962,emprunts!$A:$A,0))</f>
        <v>20</v>
      </c>
      <c r="F962" s="18" t="str">
        <f>INDEX(emprunts!P:P,MATCH($A962,emprunts!$A:$A,0))</f>
        <v>Fixe</v>
      </c>
      <c r="G962" s="126" t="str">
        <f>IF(LEFT(A962,3)="vx_","vx",INDEX(Categorie,MATCH($A962,emprunts!$A$2:$A$149,0)))</f>
        <v>Non_st</v>
      </c>
      <c r="H962">
        <v>2015</v>
      </c>
      <c r="I962">
        <f t="shared" si="161"/>
        <v>1</v>
      </c>
      <c r="N962"/>
      <c r="O962" s="58"/>
      <c r="P962" s="58"/>
      <c r="Q962" s="58"/>
      <c r="R962" s="58"/>
      <c r="S962" s="58"/>
      <c r="T962" s="58"/>
      <c r="U962" s="58"/>
      <c r="V962" s="14" t="str">
        <f t="shared" si="158"/>
        <v/>
      </c>
      <c r="W962" s="77"/>
      <c r="X962" s="85">
        <f t="shared" si="162"/>
        <v>0</v>
      </c>
      <c r="Y962" s="21" t="str">
        <f t="shared" si="159"/>
        <v/>
      </c>
      <c r="AA962" s="55">
        <f t="shared" si="165"/>
        <v>0</v>
      </c>
      <c r="AB962" s="55">
        <f t="shared" si="166"/>
        <v>0</v>
      </c>
      <c r="AC962" s="55">
        <f t="shared" si="164"/>
        <v>0</v>
      </c>
    </row>
    <row r="963" spans="1:29">
      <c r="A963" t="s">
        <v>59</v>
      </c>
      <c r="B963" s="16" t="str">
        <f>INDEX(emprunts!C:C,MATCH($A963,emprunts!A:A,0))</f>
        <v>CDC</v>
      </c>
      <c r="C963" s="18">
        <f>INDEX(emprunts!M:M,MATCH($A963,emprunts!$A:$A,0))</f>
        <v>37621</v>
      </c>
      <c r="D963" s="18">
        <f>IF(INDEX(emprunts!O:O,MATCH($A963,emprunts!$A:$A,0))="",INDEX(emprunts!N:N,MATCH($A963,emprunts!$A:$A,0)),MIN(INDEX(emprunts!N:N,MATCH($A963,emprunts!$A:$A,0)),INDEX(emprunts!O:O,MATCH($A963,emprunts!$A:$A,0))))</f>
        <v>44927</v>
      </c>
      <c r="E963" s="52">
        <f>INDEX(emprunts!I:I,MATCH($A963,emprunts!$A:$A,0))</f>
        <v>20</v>
      </c>
      <c r="F963" s="18" t="str">
        <f>INDEX(emprunts!P:P,MATCH($A963,emprunts!$A:$A,0))</f>
        <v>Livret A</v>
      </c>
      <c r="G963" s="126" t="str">
        <f>IF(LEFT(A963,3)="vx_","vx",INDEX(Categorie,MATCH($A963,emprunts!$A$2:$A$149,0)))</f>
        <v>Livr_A</v>
      </c>
      <c r="H963">
        <v>2015</v>
      </c>
      <c r="I963">
        <f t="shared" si="161"/>
        <v>1</v>
      </c>
      <c r="N963"/>
      <c r="O963" s="58"/>
      <c r="P963" s="58"/>
      <c r="Q963" s="58"/>
      <c r="R963" s="58"/>
      <c r="S963" s="58"/>
      <c r="T963" s="58"/>
      <c r="U963" s="58"/>
      <c r="V963" s="14" t="str">
        <f t="shared" ref="V963:V1020" si="167">IF(U963="","",U963-SUM(Q963:S963))</f>
        <v/>
      </c>
      <c r="W963" s="77"/>
      <c r="X963" s="85">
        <f t="shared" si="162"/>
        <v>0</v>
      </c>
      <c r="Y963" s="21" t="str">
        <f t="shared" si="159"/>
        <v/>
      </c>
      <c r="AA963" s="55">
        <f t="shared" si="165"/>
        <v>0</v>
      </c>
      <c r="AB963" s="55">
        <f t="shared" si="166"/>
        <v>0</v>
      </c>
      <c r="AC963" s="55">
        <f t="shared" si="164"/>
        <v>0</v>
      </c>
    </row>
    <row r="964" spans="1:29">
      <c r="A964" t="s">
        <v>64</v>
      </c>
      <c r="B964" s="16" t="str">
        <f>INDEX(emprunts!C:C,MATCH($A964,emprunts!A:A,0))</f>
        <v>Dexia CL</v>
      </c>
      <c r="C964" s="18">
        <f>INDEX(emprunts!M:M,MATCH($A964,emprunts!$A:$A,0))</f>
        <v>37681</v>
      </c>
      <c r="D964" s="18">
        <f>IF(INDEX(emprunts!O:O,MATCH($A964,emprunts!$A:$A,0))="",INDEX(emprunts!N:N,MATCH($A964,emprunts!$A:$A,0)),MIN(INDEX(emprunts!N:N,MATCH($A964,emprunts!$A:$A,0)),INDEX(emprunts!O:O,MATCH($A964,emprunts!$A:$A,0))))</f>
        <v>38443</v>
      </c>
      <c r="E964" s="52">
        <f>INDEX(emprunts!I:I,MATCH($A964,emprunts!$A:$A,0))</f>
        <v>15</v>
      </c>
      <c r="F964" s="18" t="str">
        <f>INDEX(emprunts!P:P,MATCH($A964,emprunts!$A:$A,0))</f>
        <v>Barrière</v>
      </c>
      <c r="G964" s="126" t="str">
        <f>IF(LEFT(A964,3)="vx_","vx",INDEX(Categorie,MATCH($A964,emprunts!$A$2:$A$149,0)))</f>
        <v>Struct</v>
      </c>
      <c r="H964">
        <v>2015</v>
      </c>
      <c r="I964">
        <f t="shared" si="161"/>
        <v>1</v>
      </c>
      <c r="N964"/>
      <c r="O964" s="58"/>
      <c r="P964" s="58"/>
      <c r="Q964" s="58"/>
      <c r="R964" s="58"/>
      <c r="S964" s="58"/>
      <c r="T964" s="58"/>
      <c r="U964" s="58"/>
      <c r="V964" s="14" t="str">
        <f t="shared" si="167"/>
        <v/>
      </c>
      <c r="W964" s="77"/>
      <c r="X964" s="85">
        <f t="shared" si="162"/>
        <v>0</v>
      </c>
      <c r="Y964" s="21" t="str">
        <f t="shared" si="159"/>
        <v/>
      </c>
      <c r="AA964" s="55">
        <f t="shared" si="165"/>
        <v>0</v>
      </c>
      <c r="AB964" s="55">
        <f t="shared" si="166"/>
        <v>0</v>
      </c>
      <c r="AC964" s="55">
        <f t="shared" si="164"/>
        <v>0</v>
      </c>
    </row>
    <row r="965" spans="1:29">
      <c r="A965" t="s">
        <v>71</v>
      </c>
      <c r="B965" s="16" t="str">
        <f>INDEX(emprunts!C:C,MATCH($A965,emprunts!A:A,0))</f>
        <v>Dexia CL</v>
      </c>
      <c r="C965" s="18">
        <f>INDEX(emprunts!M:M,MATCH($A965,emprunts!$A:$A,0))</f>
        <v>37742</v>
      </c>
      <c r="D965" s="18">
        <f>IF(INDEX(emprunts!O:O,MATCH($A965,emprunts!$A:$A,0))="",INDEX(emprunts!N:N,MATCH($A965,emprunts!$A:$A,0)),MIN(INDEX(emprunts!N:N,MATCH($A965,emprunts!$A:$A,0)),INDEX(emprunts!O:O,MATCH($A965,emprunts!$A:$A,0))))</f>
        <v>38443</v>
      </c>
      <c r="E965" s="52">
        <f>INDEX(emprunts!I:I,MATCH($A965,emprunts!$A:$A,0))</f>
        <v>8</v>
      </c>
      <c r="F965" s="18" t="str">
        <f>INDEX(emprunts!P:P,MATCH($A965,emprunts!$A:$A,0))</f>
        <v>Barrière</v>
      </c>
      <c r="G965" s="126" t="str">
        <f>IF(LEFT(A965,3)="vx_","vx",INDEX(Categorie,MATCH($A965,emprunts!$A$2:$A$149,0)))</f>
        <v>Struct</v>
      </c>
      <c r="H965">
        <v>2015</v>
      </c>
      <c r="I965">
        <f t="shared" si="161"/>
        <v>1</v>
      </c>
      <c r="N965"/>
      <c r="O965" s="58"/>
      <c r="P965" s="58"/>
      <c r="Q965" s="58"/>
      <c r="R965" s="58"/>
      <c r="S965" s="58"/>
      <c r="T965" s="58"/>
      <c r="U965" s="58"/>
      <c r="V965" s="14" t="str">
        <f t="shared" si="167"/>
        <v/>
      </c>
      <c r="W965" s="77"/>
      <c r="X965" s="85">
        <f t="shared" si="162"/>
        <v>0</v>
      </c>
      <c r="Y965" s="21" t="str">
        <f t="shared" si="159"/>
        <v/>
      </c>
      <c r="AA965" s="55">
        <f t="shared" si="165"/>
        <v>0</v>
      </c>
      <c r="AB965" s="55">
        <f t="shared" si="166"/>
        <v>0</v>
      </c>
      <c r="AC965" s="55">
        <f t="shared" si="164"/>
        <v>0</v>
      </c>
    </row>
    <row r="966" spans="1:29">
      <c r="A966" t="s">
        <v>78</v>
      </c>
      <c r="B966" s="16" t="str">
        <f>INDEX(emprunts!C:C,MATCH($A966,emprunts!A:A,0))</f>
        <v>Dexia CL</v>
      </c>
      <c r="C966" s="18">
        <f>INDEX(emprunts!M:M,MATCH($A966,emprunts!$A:$A,0))</f>
        <v>37772</v>
      </c>
      <c r="D966" s="18">
        <f>IF(INDEX(emprunts!O:O,MATCH($A966,emprunts!$A:$A,0))="",INDEX(emprunts!N:N,MATCH($A966,emprunts!$A:$A,0)),MIN(INDEX(emprunts!N:N,MATCH($A966,emprunts!$A:$A,0)),INDEX(emprunts!O:O,MATCH($A966,emprunts!$A:$A,0))))</f>
        <v>38443</v>
      </c>
      <c r="E966" s="52">
        <f>INDEX(emprunts!I:I,MATCH($A966,emprunts!$A:$A,0))</f>
        <v>20</v>
      </c>
      <c r="F966" s="18" t="str">
        <f>INDEX(emprunts!P:P,MATCH($A966,emprunts!$A:$A,0))</f>
        <v>Barrière</v>
      </c>
      <c r="G966" s="126" t="str">
        <f>IF(LEFT(A966,3)="vx_","vx",INDEX(Categorie,MATCH($A966,emprunts!$A$2:$A$149,0)))</f>
        <v>Struct</v>
      </c>
      <c r="H966">
        <v>2015</v>
      </c>
      <c r="I966">
        <f t="shared" si="161"/>
        <v>1</v>
      </c>
      <c r="N966"/>
      <c r="O966" s="58"/>
      <c r="P966" s="58"/>
      <c r="Q966" s="58"/>
      <c r="R966" s="58"/>
      <c r="S966" s="58"/>
      <c r="T966" s="58"/>
      <c r="U966" s="58"/>
      <c r="V966" s="14" t="str">
        <f t="shared" si="167"/>
        <v/>
      </c>
      <c r="W966" s="77"/>
      <c r="X966" s="85">
        <f t="shared" si="162"/>
        <v>0</v>
      </c>
      <c r="Y966" s="21" t="str">
        <f t="shared" si="159"/>
        <v/>
      </c>
      <c r="AA966" s="55">
        <f t="shared" si="165"/>
        <v>0</v>
      </c>
      <c r="AB966" s="55">
        <f t="shared" si="166"/>
        <v>0</v>
      </c>
      <c r="AC966" s="55">
        <f t="shared" si="164"/>
        <v>0</v>
      </c>
    </row>
    <row r="967" spans="1:29">
      <c r="A967" t="s">
        <v>79</v>
      </c>
      <c r="B967" s="16" t="str">
        <f>INDEX(emprunts!C:C,MATCH($A967,emprunts!A:A,0))</f>
        <v>Caisse d'Épargne</v>
      </c>
      <c r="C967" s="18">
        <f>INDEX(emprunts!M:M,MATCH($A967,emprunts!$A:$A,0))</f>
        <v>37803</v>
      </c>
      <c r="D967" s="18">
        <f>IF(INDEX(emprunts!O:O,MATCH($A967,emprunts!$A:$A,0))="",INDEX(emprunts!N:N,MATCH($A967,emprunts!$A:$A,0)),MIN(INDEX(emprunts!N:N,MATCH($A967,emprunts!$A:$A,0)),INDEX(emprunts!O:O,MATCH($A967,emprunts!$A:$A,0))))</f>
        <v>38773</v>
      </c>
      <c r="E967" s="52">
        <f>INDEX(emprunts!I:I,MATCH($A967,emprunts!$A:$A,0))</f>
        <v>20</v>
      </c>
      <c r="F967" s="18" t="str">
        <f>INDEX(emprunts!P:P,MATCH($A967,emprunts!$A:$A,0))</f>
        <v>Barrière hors zone EUR</v>
      </c>
      <c r="G967" s="126" t="str">
        <f>IF(LEFT(A967,3)="vx_","vx",INDEX(Categorie,MATCH($A967,emprunts!$A$2:$A$149,0)))</f>
        <v>Struct</v>
      </c>
      <c r="H967">
        <v>2015</v>
      </c>
      <c r="I967">
        <f t="shared" si="161"/>
        <v>1</v>
      </c>
      <c r="N967"/>
      <c r="O967" s="58"/>
      <c r="P967" s="58"/>
      <c r="Q967" s="58"/>
      <c r="R967" s="58"/>
      <c r="S967" s="58"/>
      <c r="T967" s="58"/>
      <c r="U967" s="58"/>
      <c r="V967" s="14" t="str">
        <f t="shared" si="167"/>
        <v/>
      </c>
      <c r="W967" s="77"/>
      <c r="X967" s="85">
        <f t="shared" si="162"/>
        <v>0</v>
      </c>
      <c r="Y967" s="21" t="str">
        <f t="shared" si="159"/>
        <v/>
      </c>
      <c r="AA967" s="55">
        <f t="shared" si="165"/>
        <v>0</v>
      </c>
      <c r="AB967" s="55">
        <f t="shared" si="166"/>
        <v>0</v>
      </c>
      <c r="AC967" s="55">
        <f t="shared" si="164"/>
        <v>0</v>
      </c>
    </row>
    <row r="968" spans="1:29">
      <c r="A968" t="s">
        <v>84</v>
      </c>
      <c r="B968" s="16" t="str">
        <f>INDEX(emprunts!C:C,MATCH($A968,emprunts!A:A,0))</f>
        <v>Caisse d'Épargne</v>
      </c>
      <c r="C968" s="18">
        <f>INDEX(emprunts!M:M,MATCH($A968,emprunts!$A:$A,0))</f>
        <v>37865</v>
      </c>
      <c r="D968" s="18">
        <f>IF(INDEX(emprunts!O:O,MATCH($A968,emprunts!$A:$A,0))="",INDEX(emprunts!N:N,MATCH($A968,emprunts!$A:$A,0)),MIN(INDEX(emprunts!N:N,MATCH($A968,emprunts!$A:$A,0)),INDEX(emprunts!O:O,MATCH($A968,emprunts!$A:$A,0))))</f>
        <v>38961</v>
      </c>
      <c r="E968" s="52">
        <f>INDEX(emprunts!I:I,MATCH($A968,emprunts!$A:$A,0))</f>
        <v>3</v>
      </c>
      <c r="F968" s="18" t="str">
        <f>INDEX(emprunts!P:P,MATCH($A968,emprunts!$A:$A,0))</f>
        <v>Fixe</v>
      </c>
      <c r="G968" s="126" t="str">
        <f>IF(LEFT(A968,3)="vx_","vx",INDEX(Categorie,MATCH($A968,emprunts!$A$2:$A$149,0)))</f>
        <v>Non_st</v>
      </c>
      <c r="H968">
        <v>2015</v>
      </c>
      <c r="I968">
        <f t="shared" si="161"/>
        <v>1</v>
      </c>
      <c r="N968"/>
      <c r="O968" s="58"/>
      <c r="P968" s="58"/>
      <c r="Q968" s="58"/>
      <c r="R968" s="58"/>
      <c r="S968" s="58"/>
      <c r="T968" s="58"/>
      <c r="U968" s="58"/>
      <c r="V968" s="14" t="str">
        <f t="shared" si="167"/>
        <v/>
      </c>
      <c r="W968" s="77"/>
      <c r="X968" s="85">
        <f t="shared" si="162"/>
        <v>0</v>
      </c>
      <c r="Y968" s="21" t="str">
        <f t="shared" ref="Y968:Y1024" si="168">IF(AND(AA968&gt;0,YEAR(C968)&lt;=H968),AA968/AC968,"")</f>
        <v/>
      </c>
      <c r="AA968" s="55">
        <f t="shared" si="165"/>
        <v>0</v>
      </c>
      <c r="AB968" s="55">
        <f t="shared" si="166"/>
        <v>0</v>
      </c>
      <c r="AC968" s="55">
        <f t="shared" si="164"/>
        <v>0</v>
      </c>
    </row>
    <row r="969" spans="1:29">
      <c r="A969" t="s">
        <v>86</v>
      </c>
      <c r="B969" s="16" t="str">
        <f>INDEX(emprunts!C:C,MATCH($A969,emprunts!A:A,0))</f>
        <v>Caisse d'Épargne</v>
      </c>
      <c r="C969" s="18">
        <f>INDEX(emprunts!M:M,MATCH($A969,emprunts!$A:$A,0))</f>
        <v>38022</v>
      </c>
      <c r="D969" s="18">
        <f>IF(INDEX(emprunts!O:O,MATCH($A969,emprunts!$A:$A,0))="",INDEX(emprunts!N:N,MATCH($A969,emprunts!$A:$A,0)),MIN(INDEX(emprunts!N:N,MATCH($A969,emprunts!$A:$A,0)),INDEX(emprunts!O:O,MATCH($A969,emprunts!$A:$A,0))))</f>
        <v>40719</v>
      </c>
      <c r="E969" s="52">
        <f>INDEX(emprunts!I:I,MATCH($A969,emprunts!$A:$A,0))</f>
        <v>7</v>
      </c>
      <c r="F969" s="18" t="str">
        <f>INDEX(emprunts!P:P,MATCH($A969,emprunts!$A:$A,0))</f>
        <v>Fixe</v>
      </c>
      <c r="G969" s="126" t="str">
        <f>IF(LEFT(A969,3)="vx_","vx",INDEX(Categorie,MATCH($A969,emprunts!$A$2:$A$149,0)))</f>
        <v>Non_st</v>
      </c>
      <c r="H969">
        <v>2015</v>
      </c>
      <c r="I969">
        <f t="shared" si="161"/>
        <v>1</v>
      </c>
      <c r="N969"/>
      <c r="O969" s="58"/>
      <c r="P969" s="58"/>
      <c r="Q969" s="58"/>
      <c r="R969" s="58"/>
      <c r="S969" s="58"/>
      <c r="T969" s="58"/>
      <c r="U969" s="58"/>
      <c r="V969" s="14" t="str">
        <f t="shared" si="167"/>
        <v/>
      </c>
      <c r="W969" s="77"/>
      <c r="X969" s="85">
        <f t="shared" si="162"/>
        <v>0</v>
      </c>
      <c r="Y969" s="21" t="str">
        <f t="shared" si="168"/>
        <v/>
      </c>
      <c r="AA969" s="55">
        <f t="shared" si="165"/>
        <v>0</v>
      </c>
      <c r="AB969" s="55">
        <f t="shared" si="166"/>
        <v>0</v>
      </c>
      <c r="AC969" s="55">
        <f t="shared" si="164"/>
        <v>0</v>
      </c>
    </row>
    <row r="970" spans="1:29">
      <c r="A970" t="s">
        <v>88</v>
      </c>
      <c r="B970" s="16" t="str">
        <f>INDEX(emprunts!C:C,MATCH($A970,emprunts!A:A,0))</f>
        <v>Dexia CL</v>
      </c>
      <c r="C970" s="18">
        <f>INDEX(emprunts!M:M,MATCH($A970,emprunts!$A:$A,0))</f>
        <v>38077</v>
      </c>
      <c r="D970" s="18">
        <f>IF(INDEX(emprunts!O:O,MATCH($A970,emprunts!$A:$A,0))="",INDEX(emprunts!N:N,MATCH($A970,emprunts!$A:$A,0)),MIN(INDEX(emprunts!N:N,MATCH($A970,emprunts!$A:$A,0)),INDEX(emprunts!O:O,MATCH($A970,emprunts!$A:$A,0))))</f>
        <v>39173</v>
      </c>
      <c r="E970" s="52">
        <f>INDEX(emprunts!I:I,MATCH($A970,emprunts!$A:$A,0))</f>
        <v>3</v>
      </c>
      <c r="F970" s="18" t="str">
        <f>INDEX(emprunts!P:P,MATCH($A970,emprunts!$A:$A,0))</f>
        <v>Fixe</v>
      </c>
      <c r="G970" s="126" t="str">
        <f>IF(LEFT(A970,3)="vx_","vx",INDEX(Categorie,MATCH($A970,emprunts!$A$2:$A$149,0)))</f>
        <v>Non_st</v>
      </c>
      <c r="H970">
        <v>2015</v>
      </c>
      <c r="I970">
        <f t="shared" si="161"/>
        <v>1</v>
      </c>
      <c r="N970"/>
      <c r="O970" s="58"/>
      <c r="P970" s="58"/>
      <c r="Q970" s="58"/>
      <c r="R970" s="58"/>
      <c r="S970" s="58"/>
      <c r="T970" s="58"/>
      <c r="U970" s="58"/>
      <c r="V970" s="14" t="str">
        <f t="shared" si="167"/>
        <v/>
      </c>
      <c r="W970" s="77"/>
      <c r="X970" s="85">
        <f t="shared" si="162"/>
        <v>0</v>
      </c>
      <c r="Y970" s="21" t="str">
        <f t="shared" si="168"/>
        <v/>
      </c>
      <c r="AA970" s="55">
        <f t="shared" si="165"/>
        <v>0</v>
      </c>
      <c r="AB970" s="55">
        <f t="shared" si="166"/>
        <v>0</v>
      </c>
      <c r="AC970" s="55">
        <f t="shared" si="164"/>
        <v>0</v>
      </c>
    </row>
    <row r="971" spans="1:29">
      <c r="A971" t="s">
        <v>90</v>
      </c>
      <c r="B971" s="16" t="str">
        <f>INDEX(emprunts!C:C,MATCH($A971,emprunts!A:A,0))</f>
        <v>Dexia CL</v>
      </c>
      <c r="C971" s="18">
        <f>INDEX(emprunts!M:M,MATCH($A971,emprunts!$A:$A,0))</f>
        <v>38087</v>
      </c>
      <c r="D971" s="18">
        <f>IF(INDEX(emprunts!O:O,MATCH($A971,emprunts!$A:$A,0))="",INDEX(emprunts!N:N,MATCH($A971,emprunts!$A:$A,0)),MIN(INDEX(emprunts!N:N,MATCH($A971,emprunts!$A:$A,0)),INDEX(emprunts!O:O,MATCH($A971,emprunts!$A:$A,0))))</f>
        <v>38687</v>
      </c>
      <c r="E971" s="52">
        <f>INDEX(emprunts!I:I,MATCH($A971,emprunts!$A:$A,0))</f>
        <v>17.75</v>
      </c>
      <c r="F971" s="18" t="str">
        <f>INDEX(emprunts!P:P,MATCH($A971,emprunts!$A:$A,0))</f>
        <v>Barrière avec multiplicateur</v>
      </c>
      <c r="G971" s="126" t="str">
        <f>IF(LEFT(A971,3)="vx_","vx",INDEX(Categorie,MATCH($A971,emprunts!$A$2:$A$149,0)))</f>
        <v>Struct</v>
      </c>
      <c r="H971">
        <v>2015</v>
      </c>
      <c r="I971">
        <f t="shared" si="161"/>
        <v>1</v>
      </c>
      <c r="N971"/>
      <c r="O971" s="58"/>
      <c r="P971" s="58"/>
      <c r="Q971" s="58"/>
      <c r="R971" s="58"/>
      <c r="S971" s="58"/>
      <c r="T971" s="58"/>
      <c r="U971" s="58"/>
      <c r="V971" s="14" t="str">
        <f t="shared" si="167"/>
        <v/>
      </c>
      <c r="W971" s="77"/>
      <c r="X971" s="85">
        <f t="shared" si="162"/>
        <v>0</v>
      </c>
      <c r="Y971" s="21" t="str">
        <f t="shared" si="168"/>
        <v/>
      </c>
      <c r="AA971" s="55">
        <f t="shared" si="165"/>
        <v>0</v>
      </c>
      <c r="AB971" s="55">
        <f t="shared" si="166"/>
        <v>0</v>
      </c>
      <c r="AC971" s="55">
        <f t="shared" si="164"/>
        <v>0</v>
      </c>
    </row>
    <row r="972" spans="1:29">
      <c r="A972" t="s">
        <v>96</v>
      </c>
      <c r="B972" s="16" t="str">
        <f>INDEX(emprunts!C:C,MATCH($A972,emprunts!A:A,0))</f>
        <v>Dexia CL</v>
      </c>
      <c r="C972" s="18">
        <f>INDEX(emprunts!M:M,MATCH($A972,emprunts!$A:$A,0))</f>
        <v>38087</v>
      </c>
      <c r="D972" s="18">
        <f>IF(INDEX(emprunts!O:O,MATCH($A972,emprunts!$A:$A,0))="",INDEX(emprunts!N:N,MATCH($A972,emprunts!$A:$A,0)),MIN(INDEX(emprunts!N:N,MATCH($A972,emprunts!$A:$A,0)),INDEX(emprunts!O:O,MATCH($A972,emprunts!$A:$A,0))))</f>
        <v>38534</v>
      </c>
      <c r="E972" s="52">
        <f>INDEX(emprunts!I:I,MATCH($A972,emprunts!$A:$A,0))</f>
        <v>15</v>
      </c>
      <c r="F972" s="18" t="str">
        <f>INDEX(emprunts!P:P,MATCH($A972,emprunts!$A:$A,0))</f>
        <v>Barrière hors zone EUR</v>
      </c>
      <c r="G972" s="126" t="str">
        <f>IF(LEFT(A972,3)="vx_","vx",INDEX(Categorie,MATCH($A972,emprunts!$A$2:$A$149,0)))</f>
        <v>Struct</v>
      </c>
      <c r="H972">
        <v>2015</v>
      </c>
      <c r="I972">
        <f t="shared" si="161"/>
        <v>1</v>
      </c>
      <c r="N972"/>
      <c r="O972" s="58"/>
      <c r="P972" s="58"/>
      <c r="Q972" s="58"/>
      <c r="R972" s="58"/>
      <c r="S972" s="58"/>
      <c r="T972" s="58"/>
      <c r="U972" s="58"/>
      <c r="V972" s="14" t="str">
        <f t="shared" si="167"/>
        <v/>
      </c>
      <c r="W972" s="77"/>
      <c r="X972" s="85">
        <f t="shared" si="162"/>
        <v>0</v>
      </c>
      <c r="Y972" s="21" t="str">
        <f t="shared" si="168"/>
        <v/>
      </c>
      <c r="AA972" s="55">
        <f t="shared" si="165"/>
        <v>0</v>
      </c>
      <c r="AB972" s="55">
        <f t="shared" si="166"/>
        <v>0</v>
      </c>
      <c r="AC972" s="55">
        <f t="shared" si="164"/>
        <v>0</v>
      </c>
    </row>
    <row r="973" spans="1:29">
      <c r="A973" t="s">
        <v>98</v>
      </c>
      <c r="B973" s="16" t="str">
        <f>INDEX(emprunts!C:C,MATCH($A973,emprunts!A:A,0))</f>
        <v>Dexia CL</v>
      </c>
      <c r="C973" s="18">
        <f>INDEX(emprunts!M:M,MATCH($A973,emprunts!$A:$A,0))</f>
        <v>38092</v>
      </c>
      <c r="D973" s="18">
        <f>IF(INDEX(emprunts!O:O,MATCH($A973,emprunts!$A:$A,0))="",INDEX(emprunts!N:N,MATCH($A973,emprunts!$A:$A,0)),MIN(INDEX(emprunts!N:N,MATCH($A973,emprunts!$A:$A,0)),INDEX(emprunts!O:O,MATCH($A973,emprunts!$A:$A,0))))</f>
        <v>38443</v>
      </c>
      <c r="E973" s="52">
        <f>INDEX(emprunts!I:I,MATCH($A973,emprunts!$A:$A,0))</f>
        <v>15</v>
      </c>
      <c r="F973" s="18" t="str">
        <f>INDEX(emprunts!P:P,MATCH($A973,emprunts!$A:$A,0))</f>
        <v>Variable hors zone EUR</v>
      </c>
      <c r="G973" s="126" t="str">
        <f>IF(LEFT(A973,3)="vx_","vx",INDEX(Categorie,MATCH($A973,emprunts!$A$2:$A$149,0)))</f>
        <v>Struct</v>
      </c>
      <c r="H973">
        <v>2015</v>
      </c>
      <c r="I973">
        <f t="shared" si="161"/>
        <v>1</v>
      </c>
      <c r="N973"/>
      <c r="O973" s="58"/>
      <c r="P973" s="58"/>
      <c r="Q973" s="58"/>
      <c r="R973" s="58"/>
      <c r="S973" s="58"/>
      <c r="T973" s="58"/>
      <c r="U973" s="58"/>
      <c r="V973" s="14" t="str">
        <f t="shared" si="167"/>
        <v/>
      </c>
      <c r="W973" s="77"/>
      <c r="X973" s="85">
        <f t="shared" si="162"/>
        <v>0</v>
      </c>
      <c r="Y973" s="21" t="str">
        <f t="shared" si="168"/>
        <v/>
      </c>
      <c r="AA973" s="55">
        <f t="shared" si="165"/>
        <v>0</v>
      </c>
      <c r="AB973" s="55">
        <f t="shared" si="166"/>
        <v>0</v>
      </c>
      <c r="AC973" s="55">
        <f t="shared" si="164"/>
        <v>0</v>
      </c>
    </row>
    <row r="974" spans="1:29">
      <c r="A974" t="s">
        <v>101</v>
      </c>
      <c r="B974" s="16" t="str">
        <f>INDEX(emprunts!C:C,MATCH($A974,emprunts!A:A,0))</f>
        <v>Dexia CL</v>
      </c>
      <c r="C974" s="18">
        <f>INDEX(emprunts!M:M,MATCH($A974,emprunts!$A:$A,0))</f>
        <v>38106</v>
      </c>
      <c r="D974" s="18">
        <f>IF(INDEX(emprunts!O:O,MATCH($A974,emprunts!$A:$A,0))="",INDEX(emprunts!N:N,MATCH($A974,emprunts!$A:$A,0)),MIN(INDEX(emprunts!N:N,MATCH($A974,emprunts!$A:$A,0)),INDEX(emprunts!O:O,MATCH($A974,emprunts!$A:$A,0))))</f>
        <v>39203</v>
      </c>
      <c r="E974" s="52">
        <f>INDEX(emprunts!I:I,MATCH($A974,emprunts!$A:$A,0))</f>
        <v>21</v>
      </c>
      <c r="F974" s="18" t="str">
        <f>INDEX(emprunts!P:P,MATCH($A974,emprunts!$A:$A,0))</f>
        <v>Barrière</v>
      </c>
      <c r="G974" s="126" t="str">
        <f>IF(LEFT(A974,3)="vx_","vx",INDEX(Categorie,MATCH($A974,emprunts!$A$2:$A$149,0)))</f>
        <v>Struct</v>
      </c>
      <c r="H974">
        <v>2015</v>
      </c>
      <c r="I974">
        <f t="shared" si="161"/>
        <v>1</v>
      </c>
      <c r="N974"/>
      <c r="O974" s="58"/>
      <c r="P974" s="58"/>
      <c r="Q974" s="58"/>
      <c r="R974" s="58"/>
      <c r="S974" s="58"/>
      <c r="T974" s="58"/>
      <c r="U974" s="58"/>
      <c r="V974" s="14" t="str">
        <f t="shared" si="167"/>
        <v/>
      </c>
      <c r="W974" s="77"/>
      <c r="X974" s="85">
        <f t="shared" si="162"/>
        <v>0</v>
      </c>
      <c r="Y974" s="21" t="str">
        <f t="shared" si="168"/>
        <v/>
      </c>
      <c r="AA974" s="55">
        <f t="shared" si="165"/>
        <v>0</v>
      </c>
      <c r="AB974" s="55">
        <f t="shared" si="166"/>
        <v>0</v>
      </c>
      <c r="AC974" s="55">
        <f t="shared" si="164"/>
        <v>0</v>
      </c>
    </row>
    <row r="975" spans="1:29">
      <c r="A975" t="s">
        <v>105</v>
      </c>
      <c r="B975" s="16" t="str">
        <f>INDEX(emprunts!C:C,MATCH($A975,emprunts!A:A,0))</f>
        <v>Dexia CL</v>
      </c>
      <c r="C975" s="18">
        <f>INDEX(emprunts!M:M,MATCH($A975,emprunts!$A:$A,0))</f>
        <v>38153</v>
      </c>
      <c r="D975" s="18">
        <f>IF(INDEX(emprunts!O:O,MATCH($A975,emprunts!$A:$A,0))="",INDEX(emprunts!N:N,MATCH($A975,emprunts!$A:$A,0)),MIN(INDEX(emprunts!N:N,MATCH($A975,emprunts!$A:$A,0)),INDEX(emprunts!O:O,MATCH($A975,emprunts!$A:$A,0))))</f>
        <v>38384</v>
      </c>
      <c r="E975" s="52">
        <f>INDEX(emprunts!I:I,MATCH($A975,emprunts!$A:$A,0))</f>
        <v>10</v>
      </c>
      <c r="F975" s="18" t="str">
        <f>INDEX(emprunts!P:P,MATCH($A975,emprunts!$A:$A,0))</f>
        <v>Change</v>
      </c>
      <c r="G975" s="126" t="str">
        <f>IF(LEFT(A975,3)="vx_","vx",INDEX(Categorie,MATCH($A975,emprunts!$A$2:$A$149,0)))</f>
        <v>Struct</v>
      </c>
      <c r="H975">
        <v>2015</v>
      </c>
      <c r="I975">
        <f t="shared" ref="I975:I1027" si="169">1*(C975&lt;DATE(H975,12,31))</f>
        <v>1</v>
      </c>
      <c r="N975"/>
      <c r="O975" s="58"/>
      <c r="P975" s="58"/>
      <c r="Q975" s="58"/>
      <c r="R975" s="58"/>
      <c r="S975" s="58"/>
      <c r="T975" s="58"/>
      <c r="U975" s="58"/>
      <c r="V975" s="14" t="str">
        <f t="shared" si="167"/>
        <v/>
      </c>
      <c r="W975" s="77"/>
      <c r="X975" s="85">
        <f t="shared" ref="X975:X1027" si="170">SUMPRODUCT((De=$A975)*(année_refi=$H975),Montant_transfere)</f>
        <v>0</v>
      </c>
      <c r="Y975" s="21" t="str">
        <f t="shared" si="168"/>
        <v/>
      </c>
      <c r="AA975" s="55">
        <f t="shared" si="165"/>
        <v>0</v>
      </c>
      <c r="AB975" s="55">
        <f t="shared" si="166"/>
        <v>0</v>
      </c>
      <c r="AC975" s="55">
        <f t="shared" si="164"/>
        <v>0</v>
      </c>
    </row>
    <row r="976" spans="1:29">
      <c r="A976" t="s">
        <v>108</v>
      </c>
      <c r="B976" s="16" t="str">
        <f>INDEX(emprunts!C:C,MATCH($A976,emprunts!A:A,0))</f>
        <v>Dexia CL</v>
      </c>
      <c r="C976" s="18">
        <f>INDEX(emprunts!M:M,MATCH($A976,emprunts!$A:$A,0))</f>
        <v>38193</v>
      </c>
      <c r="D976" s="18">
        <f>IF(INDEX(emprunts!O:O,MATCH($A976,emprunts!$A:$A,0))="",INDEX(emprunts!N:N,MATCH($A976,emprunts!$A:$A,0)),MIN(INDEX(emprunts!N:N,MATCH($A976,emprunts!$A:$A,0)),INDEX(emprunts!O:O,MATCH($A976,emprunts!$A:$A,0))))</f>
        <v>38777</v>
      </c>
      <c r="E976" s="52">
        <f>INDEX(emprunts!I:I,MATCH($A976,emprunts!$A:$A,0))</f>
        <v>18</v>
      </c>
      <c r="F976" s="18" t="str">
        <f>INDEX(emprunts!P:P,MATCH($A976,emprunts!$A:$A,0))</f>
        <v>Pente</v>
      </c>
      <c r="G976" s="126" t="str">
        <f>IF(LEFT(A976,3)="vx_","vx",INDEX(Categorie,MATCH($A976,emprunts!$A$2:$A$149,0)))</f>
        <v>Struct</v>
      </c>
      <c r="H976">
        <v>2015</v>
      </c>
      <c r="I976">
        <f t="shared" si="169"/>
        <v>1</v>
      </c>
      <c r="N976"/>
      <c r="O976" s="58"/>
      <c r="P976" s="58"/>
      <c r="Q976" s="58"/>
      <c r="R976" s="58"/>
      <c r="S976" s="58"/>
      <c r="T976" s="58"/>
      <c r="U976" s="58"/>
      <c r="V976" s="14" t="str">
        <f t="shared" si="167"/>
        <v/>
      </c>
      <c r="W976" s="77"/>
      <c r="X976" s="85">
        <f t="shared" si="170"/>
        <v>0</v>
      </c>
      <c r="Y976" s="21" t="str">
        <f t="shared" si="168"/>
        <v/>
      </c>
      <c r="AA976" s="55">
        <f t="shared" si="165"/>
        <v>0</v>
      </c>
      <c r="AB976" s="55">
        <f t="shared" si="166"/>
        <v>0</v>
      </c>
      <c r="AC976" s="55">
        <f t="shared" si="164"/>
        <v>0</v>
      </c>
    </row>
    <row r="977" spans="1:29">
      <c r="A977" t="s">
        <v>117</v>
      </c>
      <c r="B977" s="16" t="str">
        <f>INDEX(emprunts!C:C,MATCH($A977,emprunts!A:A,0))</f>
        <v>Dexia CL</v>
      </c>
      <c r="C977" s="18">
        <f>INDEX(emprunts!M:M,MATCH($A977,emprunts!$A:$A,0))</f>
        <v>38406</v>
      </c>
      <c r="D977" s="18">
        <f>IF(INDEX(emprunts!O:O,MATCH($A977,emprunts!$A:$A,0))="",INDEX(emprunts!N:N,MATCH($A977,emprunts!$A:$A,0)),MIN(INDEX(emprunts!N:N,MATCH($A977,emprunts!$A:$A,0)),INDEX(emprunts!O:O,MATCH($A977,emprunts!$A:$A,0))))</f>
        <v>39114</v>
      </c>
      <c r="E977" s="52">
        <f>INDEX(emprunts!I:I,MATCH($A977,emprunts!$A:$A,0))</f>
        <v>17</v>
      </c>
      <c r="F977" s="18" t="str">
        <f>INDEX(emprunts!P:P,MATCH($A977,emprunts!$A:$A,0))</f>
        <v>Barrière avec multiplicateur</v>
      </c>
      <c r="G977" s="126" t="str">
        <f>IF(LEFT(A977,3)="vx_","vx",INDEX(Categorie,MATCH($A977,emprunts!$A$2:$A$149,0)))</f>
        <v>Struct</v>
      </c>
      <c r="H977">
        <v>2015</v>
      </c>
      <c r="I977">
        <f t="shared" si="169"/>
        <v>1</v>
      </c>
      <c r="N977"/>
      <c r="O977" s="58"/>
      <c r="P977" s="58"/>
      <c r="Q977" s="58"/>
      <c r="R977" s="58"/>
      <c r="S977" s="58"/>
      <c r="T977" s="58"/>
      <c r="U977" s="58"/>
      <c r="V977" s="14" t="str">
        <f t="shared" si="167"/>
        <v/>
      </c>
      <c r="W977" s="77"/>
      <c r="X977" s="85">
        <f t="shared" si="170"/>
        <v>0</v>
      </c>
      <c r="Y977" s="21" t="str">
        <f t="shared" si="168"/>
        <v/>
      </c>
      <c r="AA977" s="55">
        <f t="shared" si="165"/>
        <v>0</v>
      </c>
      <c r="AB977" s="55">
        <f t="shared" si="166"/>
        <v>0</v>
      </c>
      <c r="AC977" s="55">
        <f t="shared" si="164"/>
        <v>0</v>
      </c>
    </row>
    <row r="978" spans="1:29">
      <c r="A978" t="s">
        <v>121</v>
      </c>
      <c r="B978" s="16" t="str">
        <f>INDEX(emprunts!C:C,MATCH($A978,emprunts!A:A,0))</f>
        <v>Dexia CL</v>
      </c>
      <c r="C978" s="18">
        <f>INDEX(emprunts!M:M,MATCH($A978,emprunts!$A:$A,0))</f>
        <v>38406</v>
      </c>
      <c r="D978" s="18">
        <f>IF(INDEX(emprunts!O:O,MATCH($A978,emprunts!$A:$A,0))="",INDEX(emprunts!N:N,MATCH($A978,emprunts!$A:$A,0)),MIN(INDEX(emprunts!N:N,MATCH($A978,emprunts!$A:$A,0)),INDEX(emprunts!O:O,MATCH($A978,emprunts!$A:$A,0))))</f>
        <v>39203</v>
      </c>
      <c r="E978" s="52">
        <f>INDEX(emprunts!I:I,MATCH($A978,emprunts!$A:$A,0))</f>
        <v>15</v>
      </c>
      <c r="F978" s="18" t="str">
        <f>INDEX(emprunts!P:P,MATCH($A978,emprunts!$A:$A,0))</f>
        <v>Variable hors zone EUR</v>
      </c>
      <c r="G978" s="126" t="str">
        <f>IF(LEFT(A978,3)="vx_","vx",INDEX(Categorie,MATCH($A978,emprunts!$A$2:$A$149,0)))</f>
        <v>Struct</v>
      </c>
      <c r="H978">
        <v>2015</v>
      </c>
      <c r="I978">
        <f t="shared" si="169"/>
        <v>1</v>
      </c>
      <c r="N978"/>
      <c r="O978" s="58"/>
      <c r="P978" s="58"/>
      <c r="Q978" s="58"/>
      <c r="R978" s="58"/>
      <c r="S978" s="58"/>
      <c r="T978" s="58"/>
      <c r="U978" s="58"/>
      <c r="V978" s="14" t="str">
        <f t="shared" si="167"/>
        <v/>
      </c>
      <c r="W978" s="77"/>
      <c r="X978" s="85">
        <f t="shared" si="170"/>
        <v>0</v>
      </c>
      <c r="Y978" s="21" t="str">
        <f t="shared" si="168"/>
        <v/>
      </c>
      <c r="AA978" s="55">
        <f t="shared" si="165"/>
        <v>0</v>
      </c>
      <c r="AB978" s="55">
        <f t="shared" si="166"/>
        <v>0</v>
      </c>
      <c r="AC978" s="55">
        <f t="shared" si="164"/>
        <v>0</v>
      </c>
    </row>
    <row r="979" spans="1:29">
      <c r="A979" t="s">
        <v>123</v>
      </c>
      <c r="B979" s="16" t="str">
        <f>INDEX(emprunts!C:C,MATCH($A979,emprunts!A:A,0))</f>
        <v>Crédit Mutuel</v>
      </c>
      <c r="C979" s="18">
        <f>INDEX(emprunts!M:M,MATCH($A979,emprunts!$A:$A,0))</f>
        <v>38435</v>
      </c>
      <c r="D979" s="18">
        <f>IF(INDEX(emprunts!O:O,MATCH($A979,emprunts!$A:$A,0))="",INDEX(emprunts!N:N,MATCH($A979,emprunts!$A:$A,0)),MIN(INDEX(emprunts!N:N,MATCH($A979,emprunts!$A:$A,0)),INDEX(emprunts!O:O,MATCH($A979,emprunts!$A:$A,0))))</f>
        <v>40260</v>
      </c>
      <c r="E979" s="52">
        <f>INDEX(emprunts!I:I,MATCH($A979,emprunts!$A:$A,0))</f>
        <v>5</v>
      </c>
      <c r="F979" s="18" t="str">
        <f>INDEX(emprunts!P:P,MATCH($A979,emprunts!$A:$A,0))</f>
        <v>Fixe</v>
      </c>
      <c r="G979" s="126" t="str">
        <f>IF(LEFT(A979,3)="vx_","vx",INDEX(Categorie,MATCH($A979,emprunts!$A$2:$A$149,0)))</f>
        <v>Non_st</v>
      </c>
      <c r="H979">
        <v>2015</v>
      </c>
      <c r="I979">
        <f t="shared" si="169"/>
        <v>1</v>
      </c>
      <c r="N979"/>
      <c r="O979" s="58"/>
      <c r="P979" s="58"/>
      <c r="Q979" s="58"/>
      <c r="R979" s="58"/>
      <c r="S979" s="58"/>
      <c r="T979" s="58"/>
      <c r="U979" s="58"/>
      <c r="V979" s="14" t="str">
        <f t="shared" si="167"/>
        <v/>
      </c>
      <c r="W979" s="77"/>
      <c r="X979" s="85">
        <f t="shared" si="170"/>
        <v>0</v>
      </c>
      <c r="Y979" s="21" t="str">
        <f t="shared" si="168"/>
        <v/>
      </c>
      <c r="AA979" s="55">
        <f t="shared" si="165"/>
        <v>0</v>
      </c>
      <c r="AB979" s="55">
        <f t="shared" si="166"/>
        <v>0</v>
      </c>
      <c r="AC979" s="55">
        <f t="shared" si="164"/>
        <v>0</v>
      </c>
    </row>
    <row r="980" spans="1:29">
      <c r="A980" t="s">
        <v>125</v>
      </c>
      <c r="B980" s="16" t="str">
        <f>INDEX(emprunts!C:C,MATCH($A980,emprunts!A:A,0))</f>
        <v>Dexia CL</v>
      </c>
      <c r="C980" s="18">
        <f>INDEX(emprunts!M:M,MATCH($A980,emprunts!$A:$A,0))</f>
        <v>38443</v>
      </c>
      <c r="D980" s="18">
        <f>IF(INDEX(emprunts!O:O,MATCH($A980,emprunts!$A:$A,0))="",INDEX(emprunts!N:N,MATCH($A980,emprunts!$A:$A,0)),MIN(INDEX(emprunts!N:N,MATCH($A980,emprunts!$A:$A,0)),INDEX(emprunts!O:O,MATCH($A980,emprunts!$A:$A,0))))</f>
        <v>38899</v>
      </c>
      <c r="E980" s="52">
        <f>INDEX(emprunts!I:I,MATCH($A980,emprunts!$A:$A,0))</f>
        <v>19</v>
      </c>
      <c r="F980" s="18" t="str">
        <f>INDEX(emprunts!P:P,MATCH($A980,emprunts!$A:$A,0))</f>
        <v>Change</v>
      </c>
      <c r="G980" s="126" t="str">
        <f>IF(LEFT(A980,3)="vx_","vx",INDEX(Categorie,MATCH($A980,emprunts!$A$2:$A$149,0)))</f>
        <v>Struct</v>
      </c>
      <c r="H980">
        <v>2015</v>
      </c>
      <c r="I980">
        <f t="shared" si="169"/>
        <v>1</v>
      </c>
      <c r="N980"/>
      <c r="O980" s="58"/>
      <c r="P980" s="58"/>
      <c r="Q980" s="58"/>
      <c r="R980" s="58"/>
      <c r="S980" s="58"/>
      <c r="T980" s="58"/>
      <c r="U980" s="58"/>
      <c r="V980" s="14" t="str">
        <f t="shared" si="167"/>
        <v/>
      </c>
      <c r="W980" s="77"/>
      <c r="X980" s="85">
        <f t="shared" si="170"/>
        <v>0</v>
      </c>
      <c r="Y980" s="21" t="str">
        <f t="shared" si="168"/>
        <v/>
      </c>
      <c r="AA980" s="55">
        <f t="shared" si="165"/>
        <v>0</v>
      </c>
      <c r="AB980" s="55">
        <f t="shared" si="166"/>
        <v>0</v>
      </c>
      <c r="AC980" s="55">
        <f t="shared" si="164"/>
        <v>0</v>
      </c>
    </row>
    <row r="981" spans="1:29">
      <c r="A981" t="s">
        <v>180</v>
      </c>
      <c r="B981" s="16" t="str">
        <f>INDEX(emprunts!C:C,MATCH($A981,emprunts!A:A,0))</f>
        <v>Dexia CL</v>
      </c>
      <c r="C981" s="18">
        <f>INDEX(emprunts!M:M,MATCH($A981,emprunts!$A:$A,0))</f>
        <v>38443</v>
      </c>
      <c r="D981" s="18">
        <f>IF(INDEX(emprunts!O:O,MATCH($A981,emprunts!$A:$A,0))="",INDEX(emprunts!N:N,MATCH($A981,emprunts!$A:$A,0)),MIN(INDEX(emprunts!N:N,MATCH($A981,emprunts!$A:$A,0)),INDEX(emprunts!O:O,MATCH($A981,emprunts!$A:$A,0))))</f>
        <v>39203</v>
      </c>
      <c r="E981" s="52">
        <f>INDEX(emprunts!I:I,MATCH($A981,emprunts!$A:$A,0))</f>
        <v>15</v>
      </c>
      <c r="F981" s="18" t="str">
        <f>INDEX(emprunts!P:P,MATCH($A981,emprunts!$A:$A,0))</f>
        <v>Change</v>
      </c>
      <c r="G981" s="126" t="str">
        <f>IF(LEFT(A981,3)="vx_","vx",INDEX(Categorie,MATCH($A981,emprunts!$A$2:$A$149,0)))</f>
        <v>Struct</v>
      </c>
      <c r="H981">
        <v>2015</v>
      </c>
      <c r="I981">
        <f t="shared" si="169"/>
        <v>1</v>
      </c>
      <c r="N981"/>
      <c r="O981" s="58"/>
      <c r="P981" s="58"/>
      <c r="Q981" s="58"/>
      <c r="R981" s="58"/>
      <c r="S981" s="58"/>
      <c r="T981" s="58"/>
      <c r="U981" s="58"/>
      <c r="V981" s="14" t="str">
        <f t="shared" si="167"/>
        <v/>
      </c>
      <c r="W981" s="77"/>
      <c r="X981" s="85">
        <f t="shared" si="170"/>
        <v>0</v>
      </c>
      <c r="Y981" s="21" t="str">
        <f t="shared" si="168"/>
        <v/>
      </c>
      <c r="AA981" s="55">
        <f t="shared" si="165"/>
        <v>0</v>
      </c>
      <c r="AB981" s="55">
        <f t="shared" si="166"/>
        <v>0</v>
      </c>
      <c r="AC981" s="55">
        <f t="shared" si="164"/>
        <v>0</v>
      </c>
    </row>
    <row r="982" spans="1:29">
      <c r="A982" t="s">
        <v>183</v>
      </c>
      <c r="B982" s="16" t="str">
        <f>INDEX(emprunts!C:C,MATCH($A982,emprunts!A:A,0))</f>
        <v>CDC</v>
      </c>
      <c r="C982" s="18">
        <f>INDEX(emprunts!M:M,MATCH($A982,emprunts!$A:$A,0))</f>
        <v>38473</v>
      </c>
      <c r="D982" s="18">
        <f>IF(INDEX(emprunts!O:O,MATCH($A982,emprunts!$A:$A,0))="",INDEX(emprunts!N:N,MATCH($A982,emprunts!$A:$A,0)),MIN(INDEX(emprunts!N:N,MATCH($A982,emprunts!$A:$A,0)),INDEX(emprunts!O:O,MATCH($A982,emprunts!$A:$A,0))))</f>
        <v>40663</v>
      </c>
      <c r="E982" s="52">
        <f>INDEX(emprunts!I:I,MATCH($A982,emprunts!$A:$A,0))</f>
        <v>6</v>
      </c>
      <c r="F982" s="18" t="str">
        <f>INDEX(emprunts!P:P,MATCH($A982,emprunts!$A:$A,0))</f>
        <v>Variable</v>
      </c>
      <c r="G982" s="126" t="str">
        <f>IF(LEFT(A982,3)="vx_","vx",INDEX(Categorie,MATCH($A982,emprunts!$A$2:$A$149,0)))</f>
        <v>Non_st</v>
      </c>
      <c r="H982">
        <v>2015</v>
      </c>
      <c r="I982">
        <f t="shared" si="169"/>
        <v>1</v>
      </c>
      <c r="N982"/>
      <c r="O982" s="58"/>
      <c r="P982" s="58"/>
      <c r="Q982" s="58"/>
      <c r="R982" s="58"/>
      <c r="S982" s="58"/>
      <c r="T982" s="58"/>
      <c r="U982" s="58"/>
      <c r="V982" s="14" t="str">
        <f t="shared" si="167"/>
        <v/>
      </c>
      <c r="W982" s="77"/>
      <c r="X982" s="85">
        <f t="shared" si="170"/>
        <v>0</v>
      </c>
      <c r="Y982" s="21" t="str">
        <f t="shared" si="168"/>
        <v/>
      </c>
      <c r="AA982" s="55">
        <f t="shared" si="165"/>
        <v>0</v>
      </c>
      <c r="AB982" s="55">
        <f t="shared" si="166"/>
        <v>0</v>
      </c>
      <c r="AC982" s="55">
        <f t="shared" si="164"/>
        <v>0</v>
      </c>
    </row>
    <row r="983" spans="1:29">
      <c r="A983" t="s">
        <v>185</v>
      </c>
      <c r="B983" s="16" t="str">
        <f>INDEX(emprunts!C:C,MATCH($A983,emprunts!A:A,0))</f>
        <v>CDC</v>
      </c>
      <c r="C983" s="18">
        <f>INDEX(emprunts!M:M,MATCH($A983,emprunts!$A:$A,0))</f>
        <v>38473</v>
      </c>
      <c r="D983" s="18">
        <f>IF(INDEX(emprunts!O:O,MATCH($A983,emprunts!$A:$A,0))="",INDEX(emprunts!N:N,MATCH($A983,emprunts!$A:$A,0)),MIN(INDEX(emprunts!N:N,MATCH($A983,emprunts!$A:$A,0)),INDEX(emprunts!O:O,MATCH($A983,emprunts!$A:$A,0))))</f>
        <v>41393</v>
      </c>
      <c r="E983" s="52">
        <f>INDEX(emprunts!I:I,MATCH($A983,emprunts!$A:$A,0))</f>
        <v>8</v>
      </c>
      <c r="F983" s="18" t="str">
        <f>INDEX(emprunts!P:P,MATCH($A983,emprunts!$A:$A,0))</f>
        <v>Variable</v>
      </c>
      <c r="G983" s="126" t="str">
        <f>IF(LEFT(A983,3)="vx_","vx",INDEX(Categorie,MATCH($A983,emprunts!$A$2:$A$149,0)))</f>
        <v>Non_st</v>
      </c>
      <c r="H983">
        <v>2015</v>
      </c>
      <c r="I983">
        <f t="shared" si="169"/>
        <v>1</v>
      </c>
      <c r="N983"/>
      <c r="O983" s="58"/>
      <c r="P983" s="58"/>
      <c r="Q983" s="58"/>
      <c r="R983" s="58"/>
      <c r="S983" s="58"/>
      <c r="T983" s="58"/>
      <c r="U983" s="58"/>
      <c r="V983" s="14" t="str">
        <f t="shared" si="167"/>
        <v/>
      </c>
      <c r="W983" s="77"/>
      <c r="X983" s="85">
        <f t="shared" si="170"/>
        <v>0</v>
      </c>
      <c r="Y983" s="21" t="str">
        <f t="shared" si="168"/>
        <v/>
      </c>
      <c r="AA983" s="55">
        <f t="shared" si="165"/>
        <v>0</v>
      </c>
      <c r="AB983" s="55">
        <f t="shared" si="166"/>
        <v>0</v>
      </c>
      <c r="AC983" s="55">
        <f t="shared" si="164"/>
        <v>0</v>
      </c>
    </row>
    <row r="984" spans="1:29">
      <c r="A984" t="s">
        <v>186</v>
      </c>
      <c r="B984" s="16" t="str">
        <f>INDEX(emprunts!C:C,MATCH($A984,emprunts!A:A,0))</f>
        <v>Dexia CL</v>
      </c>
      <c r="C984" s="18">
        <f>INDEX(emprunts!M:M,MATCH($A984,emprunts!$A:$A,0))</f>
        <v>38504</v>
      </c>
      <c r="D984" s="18">
        <f>IF(INDEX(emprunts!O:O,MATCH($A984,emprunts!$A:$A,0))="",INDEX(emprunts!N:N,MATCH($A984,emprunts!$A:$A,0)),MIN(INDEX(emprunts!N:N,MATCH($A984,emprunts!$A:$A,0)),INDEX(emprunts!O:O,MATCH($A984,emprunts!$A:$A,0))))</f>
        <v>38805</v>
      </c>
      <c r="E984" s="52">
        <f>INDEX(emprunts!I:I,MATCH($A984,emprunts!$A:$A,0))</f>
        <v>17.25</v>
      </c>
      <c r="F984" s="18" t="str">
        <f>INDEX(emprunts!P:P,MATCH($A984,emprunts!$A:$A,0))</f>
        <v>Change</v>
      </c>
      <c r="G984" s="126" t="str">
        <f>IF(LEFT(A984,3)="vx_","vx",INDEX(Categorie,MATCH($A984,emprunts!$A$2:$A$149,0)))</f>
        <v>Struct</v>
      </c>
      <c r="H984">
        <v>2015</v>
      </c>
      <c r="I984">
        <f t="shared" si="169"/>
        <v>1</v>
      </c>
      <c r="N984"/>
      <c r="O984" s="58"/>
      <c r="P984" s="58"/>
      <c r="Q984" s="58"/>
      <c r="R984" s="58"/>
      <c r="S984" s="58"/>
      <c r="T984" s="58"/>
      <c r="U984" s="58"/>
      <c r="V984" s="14" t="str">
        <f t="shared" si="167"/>
        <v/>
      </c>
      <c r="W984" s="77"/>
      <c r="X984" s="85">
        <f t="shared" si="170"/>
        <v>0</v>
      </c>
      <c r="Y984" s="21" t="str">
        <f t="shared" si="168"/>
        <v/>
      </c>
      <c r="AA984" s="55">
        <f t="shared" si="165"/>
        <v>0</v>
      </c>
      <c r="AB984" s="55">
        <f t="shared" si="166"/>
        <v>0</v>
      </c>
      <c r="AC984" s="55">
        <f t="shared" si="164"/>
        <v>0</v>
      </c>
    </row>
    <row r="985" spans="1:29">
      <c r="A985" t="s">
        <v>187</v>
      </c>
      <c r="B985" s="16" t="str">
        <f>INDEX(emprunts!C:C,MATCH($A985,emprunts!A:A,0))</f>
        <v>Dexia CL</v>
      </c>
      <c r="C985" s="18">
        <f>INDEX(emprunts!M:M,MATCH($A985,emprunts!$A:$A,0))</f>
        <v>38534</v>
      </c>
      <c r="D985" s="18">
        <f>IF(INDEX(emprunts!O:O,MATCH($A985,emprunts!$A:$A,0))="",INDEX(emprunts!N:N,MATCH($A985,emprunts!$A:$A,0)),MIN(INDEX(emprunts!N:N,MATCH($A985,emprunts!$A:$A,0)),INDEX(emprunts!O:O,MATCH($A985,emprunts!$A:$A,0))))</f>
        <v>38899</v>
      </c>
      <c r="E985" s="52">
        <f>INDEX(emprunts!I:I,MATCH($A985,emprunts!$A:$A,0))</f>
        <v>16</v>
      </c>
      <c r="F985" s="18" t="str">
        <f>INDEX(emprunts!P:P,MATCH($A985,emprunts!$A:$A,0))</f>
        <v>Pente</v>
      </c>
      <c r="G985" s="126" t="str">
        <f>IF(LEFT(A985,3)="vx_","vx",INDEX(Categorie,MATCH($A985,emprunts!$A$2:$A$149,0)))</f>
        <v>Struct</v>
      </c>
      <c r="H985">
        <v>2015</v>
      </c>
      <c r="I985">
        <f t="shared" si="169"/>
        <v>1</v>
      </c>
      <c r="N985"/>
      <c r="O985" s="58"/>
      <c r="P985" s="58"/>
      <c r="Q985" s="58"/>
      <c r="R985" s="58"/>
      <c r="S985" s="58"/>
      <c r="T985" s="58"/>
      <c r="U985" s="58"/>
      <c r="V985" s="14" t="str">
        <f t="shared" si="167"/>
        <v/>
      </c>
      <c r="W985" s="77"/>
      <c r="X985" s="85">
        <f t="shared" si="170"/>
        <v>0</v>
      </c>
      <c r="Y985" s="21" t="str">
        <f t="shared" si="168"/>
        <v/>
      </c>
      <c r="AA985" s="55">
        <f t="shared" si="165"/>
        <v>0</v>
      </c>
      <c r="AB985" s="55">
        <f t="shared" si="166"/>
        <v>0</v>
      </c>
      <c r="AC985" s="55">
        <f t="shared" si="164"/>
        <v>0</v>
      </c>
    </row>
    <row r="986" spans="1:29">
      <c r="A986" t="s">
        <v>193</v>
      </c>
      <c r="B986" s="16" t="str">
        <f>INDEX(emprunts!C:C,MATCH($A986,emprunts!A:A,0))</f>
        <v>Dexia CL</v>
      </c>
      <c r="C986" s="18">
        <f>INDEX(emprunts!M:M,MATCH($A986,emprunts!$A:$A,0))</f>
        <v>38687</v>
      </c>
      <c r="D986" s="18">
        <f>IF(INDEX(emprunts!O:O,MATCH($A986,emprunts!$A:$A,0))="",INDEX(emprunts!N:N,MATCH($A986,emprunts!$A:$A,0)),MIN(INDEX(emprunts!N:N,MATCH($A986,emprunts!$A:$A,0)),INDEX(emprunts!O:O,MATCH($A986,emprunts!$A:$A,0))))</f>
        <v>38805</v>
      </c>
      <c r="E986" s="52">
        <f>INDEX(emprunts!I:I,MATCH($A986,emprunts!$A:$A,0))</f>
        <v>16</v>
      </c>
      <c r="F986" s="18" t="str">
        <f>INDEX(emprunts!P:P,MATCH($A986,emprunts!$A:$A,0))</f>
        <v>Pente</v>
      </c>
      <c r="G986" s="126" t="str">
        <f>IF(LEFT(A986,3)="vx_","vx",INDEX(Categorie,MATCH($A986,emprunts!$A$2:$A$149,0)))</f>
        <v>Struct</v>
      </c>
      <c r="H986">
        <v>2015</v>
      </c>
      <c r="I986">
        <f t="shared" si="169"/>
        <v>1</v>
      </c>
      <c r="N986"/>
      <c r="O986" s="58"/>
      <c r="P986" s="58"/>
      <c r="Q986" s="58"/>
      <c r="R986" s="58"/>
      <c r="S986" s="58"/>
      <c r="T986" s="58"/>
      <c r="U986" s="58"/>
      <c r="V986" s="14" t="str">
        <f t="shared" si="167"/>
        <v/>
      </c>
      <c r="W986" s="77"/>
      <c r="X986" s="85">
        <f t="shared" si="170"/>
        <v>0</v>
      </c>
      <c r="Y986" s="21" t="str">
        <f t="shared" si="168"/>
        <v/>
      </c>
      <c r="AA986" s="55">
        <f t="shared" si="165"/>
        <v>0</v>
      </c>
      <c r="AB986" s="55">
        <f t="shared" si="166"/>
        <v>0</v>
      </c>
      <c r="AC986" s="55">
        <f t="shared" si="164"/>
        <v>0</v>
      </c>
    </row>
    <row r="987" spans="1:29">
      <c r="A987" t="s">
        <v>195</v>
      </c>
      <c r="B987" s="16" t="str">
        <f>INDEX(emprunts!C:C,MATCH($A987,emprunts!A:A,0))</f>
        <v>Dexia CL</v>
      </c>
      <c r="C987" s="18">
        <f>INDEX(emprunts!M:M,MATCH($A987,emprunts!$A:$A,0))</f>
        <v>38709</v>
      </c>
      <c r="D987" s="18">
        <f>IF(INDEX(emprunts!O:O,MATCH($A987,emprunts!$A:$A,0))="",INDEX(emprunts!N:N,MATCH($A987,emprunts!$A:$A,0)),MIN(INDEX(emprunts!N:N,MATCH($A987,emprunts!$A:$A,0)),INDEX(emprunts!O:O,MATCH($A987,emprunts!$A:$A,0))))</f>
        <v>39203</v>
      </c>
      <c r="E987" s="52">
        <f>INDEX(emprunts!I:I,MATCH($A987,emprunts!$A:$A,0))</f>
        <v>18.170000000000002</v>
      </c>
      <c r="F987" s="18" t="str">
        <f>INDEX(emprunts!P:P,MATCH($A987,emprunts!$A:$A,0))</f>
        <v>Pente</v>
      </c>
      <c r="G987" s="126" t="str">
        <f>IF(LEFT(A987,3)="vx_","vx",INDEX(Categorie,MATCH($A987,emprunts!$A$2:$A$149,0)))</f>
        <v>Struct</v>
      </c>
      <c r="H987">
        <v>2015</v>
      </c>
      <c r="I987">
        <f t="shared" si="169"/>
        <v>1</v>
      </c>
      <c r="N987"/>
      <c r="O987" s="58"/>
      <c r="P987" s="58"/>
      <c r="Q987" s="58"/>
      <c r="R987" s="58"/>
      <c r="S987" s="58"/>
      <c r="T987" s="58"/>
      <c r="U987" s="58"/>
      <c r="V987" s="14" t="str">
        <f t="shared" si="167"/>
        <v/>
      </c>
      <c r="W987" s="77"/>
      <c r="X987" s="85">
        <f t="shared" si="170"/>
        <v>0</v>
      </c>
      <c r="Y987" s="21" t="str">
        <f t="shared" si="168"/>
        <v/>
      </c>
      <c r="AA987" s="55">
        <f t="shared" si="165"/>
        <v>0</v>
      </c>
      <c r="AB987" s="55">
        <f t="shared" si="166"/>
        <v>0</v>
      </c>
      <c r="AC987" s="55">
        <f t="shared" si="164"/>
        <v>0</v>
      </c>
    </row>
    <row r="988" spans="1:29">
      <c r="A988" t="s">
        <v>204</v>
      </c>
      <c r="B988" s="16" t="str">
        <f>INDEX(emprunts!C:C,MATCH($A988,emprunts!A:A,0))</f>
        <v>Crédit Agricole</v>
      </c>
      <c r="C988" s="18">
        <f>INDEX(emprunts!M:M,MATCH($A988,emprunts!$A:$A,0))</f>
        <v>38782</v>
      </c>
      <c r="D988" s="18">
        <f>IF(INDEX(emprunts!O:O,MATCH($A988,emprunts!$A:$A,0))="",INDEX(emprunts!N:N,MATCH($A988,emprunts!$A:$A,0)),MIN(INDEX(emprunts!N:N,MATCH($A988,emprunts!$A:$A,0)),INDEX(emprunts!O:O,MATCH($A988,emprunts!$A:$A,0))))</f>
        <v>44257</v>
      </c>
      <c r="E988" s="52">
        <f>INDEX(emprunts!I:I,MATCH($A988,emprunts!$A:$A,0))</f>
        <v>15</v>
      </c>
      <c r="F988" s="18" t="str">
        <f>INDEX(emprunts!P:P,MATCH($A988,emprunts!$A:$A,0))</f>
        <v>Barrière</v>
      </c>
      <c r="G988" s="126" t="str">
        <f>IF(LEFT(A988,3)="vx_","vx",INDEX(Categorie,MATCH($A988,emprunts!$A$2:$A$149,0)))</f>
        <v>Struct</v>
      </c>
      <c r="H988">
        <v>2015</v>
      </c>
      <c r="I988">
        <f t="shared" si="169"/>
        <v>1</v>
      </c>
      <c r="N988"/>
      <c r="O988" s="58"/>
      <c r="P988" s="58"/>
      <c r="Q988" s="58"/>
      <c r="R988" s="58"/>
      <c r="S988" s="58"/>
      <c r="T988" s="58"/>
      <c r="U988" s="58"/>
      <c r="V988" s="14" t="str">
        <f t="shared" si="167"/>
        <v/>
      </c>
      <c r="W988" s="77"/>
      <c r="X988" s="85">
        <f t="shared" si="170"/>
        <v>0</v>
      </c>
      <c r="Y988" s="21" t="str">
        <f t="shared" si="168"/>
        <v/>
      </c>
      <c r="AA988" s="55">
        <f t="shared" si="165"/>
        <v>0</v>
      </c>
      <c r="AB988" s="55">
        <f t="shared" si="166"/>
        <v>0</v>
      </c>
      <c r="AC988" s="55">
        <f t="shared" si="164"/>
        <v>0</v>
      </c>
    </row>
    <row r="989" spans="1:29">
      <c r="A989" t="s">
        <v>207</v>
      </c>
      <c r="B989" s="16" t="str">
        <f>INDEX(emprunts!C:C,MATCH($A989,emprunts!A:A,0))</f>
        <v>Crédit Agricole</v>
      </c>
      <c r="C989" s="18">
        <f>INDEX(emprunts!M:M,MATCH($A989,emprunts!$A:$A,0))</f>
        <v>38782</v>
      </c>
      <c r="D989" s="18">
        <f>IF(INDEX(emprunts!O:O,MATCH($A989,emprunts!$A:$A,0))="",INDEX(emprunts!N:N,MATCH($A989,emprunts!$A:$A,0)),MIN(INDEX(emprunts!N:N,MATCH($A989,emprunts!$A:$A,0)),INDEX(emprunts!O:O,MATCH($A989,emprunts!$A:$A,0))))</f>
        <v>44261</v>
      </c>
      <c r="E989" s="52">
        <f>INDEX(emprunts!I:I,MATCH($A989,emprunts!$A:$A,0))</f>
        <v>15</v>
      </c>
      <c r="F989" s="18" t="str">
        <f>INDEX(emprunts!P:P,MATCH($A989,emprunts!$A:$A,0))</f>
        <v>Fixe</v>
      </c>
      <c r="G989" s="126" t="str">
        <f>IF(LEFT(A989,3)="vx_","vx",INDEX(Categorie,MATCH($A989,emprunts!$A$2:$A$149,0)))</f>
        <v>Non_st</v>
      </c>
      <c r="H989">
        <v>2015</v>
      </c>
      <c r="I989">
        <f t="shared" si="169"/>
        <v>1</v>
      </c>
      <c r="N989"/>
      <c r="O989" s="58">
        <v>2323877</v>
      </c>
      <c r="P989" s="75">
        <v>3.2300000000000002E-2</v>
      </c>
      <c r="Q989" s="58">
        <v>182413.09</v>
      </c>
      <c r="R989" s="58">
        <v>341357.01</v>
      </c>
      <c r="S989" s="58"/>
      <c r="T989" s="58">
        <v>96481.49</v>
      </c>
      <c r="U989" s="58">
        <f>SUM(Q989:S989)</f>
        <v>523770.1</v>
      </c>
      <c r="V989" s="14">
        <f t="shared" si="167"/>
        <v>0</v>
      </c>
      <c r="W989" s="77"/>
      <c r="X989" s="85">
        <f t="shared" si="170"/>
        <v>0</v>
      </c>
      <c r="Y989" s="21">
        <f t="shared" si="168"/>
        <v>8.0231955861142359E-2</v>
      </c>
      <c r="AA989" s="55">
        <f t="shared" si="165"/>
        <v>199594.73</v>
      </c>
      <c r="AB989" s="55">
        <f t="shared" si="166"/>
        <v>9.9999997764825821E-3</v>
      </c>
      <c r="AC989" s="55">
        <f t="shared" si="164"/>
        <v>2487721.1063561644</v>
      </c>
    </row>
    <row r="990" spans="1:29">
      <c r="A990" t="s">
        <v>211</v>
      </c>
      <c r="B990" s="16" t="str">
        <f>INDEX(emprunts!C:C,MATCH($A990,emprunts!A:A,0))</f>
        <v>Dexia CL</v>
      </c>
      <c r="C990" s="18">
        <f>INDEX(emprunts!M:M,MATCH($A990,emprunts!$A:$A,0))</f>
        <v>38899</v>
      </c>
      <c r="D990" s="18">
        <f>IF(INDEX(emprunts!O:O,MATCH($A990,emprunts!$A:$A,0))="",INDEX(emprunts!N:N,MATCH($A990,emprunts!$A:$A,0)),MIN(INDEX(emprunts!N:N,MATCH($A990,emprunts!$A:$A,0)),INDEX(emprunts!O:O,MATCH($A990,emprunts!$A:$A,0))))</f>
        <v>40737</v>
      </c>
      <c r="E990" s="52">
        <f>INDEX(emprunts!I:I,MATCH($A990,emprunts!$A:$A,0))</f>
        <v>20</v>
      </c>
      <c r="F990" s="18" t="str">
        <f>INDEX(emprunts!P:P,MATCH($A990,emprunts!$A:$A,0))</f>
        <v>Change</v>
      </c>
      <c r="G990" s="126" t="str">
        <f>IF(LEFT(A990,3)="vx_","vx",INDEX(Categorie,MATCH($A990,emprunts!$A$2:$A$149,0)))</f>
        <v>Struct</v>
      </c>
      <c r="H990">
        <v>2015</v>
      </c>
      <c r="I990">
        <f t="shared" si="169"/>
        <v>1</v>
      </c>
      <c r="N990"/>
      <c r="O990" s="58"/>
      <c r="P990" s="58"/>
      <c r="Q990" s="58"/>
      <c r="R990" s="58"/>
      <c r="S990" s="58"/>
      <c r="T990" s="58"/>
      <c r="U990" s="58"/>
      <c r="V990" s="14" t="str">
        <f t="shared" si="167"/>
        <v/>
      </c>
      <c r="W990" s="77"/>
      <c r="X990" s="85">
        <f t="shared" si="170"/>
        <v>0</v>
      </c>
      <c r="Y990" s="21" t="str">
        <f t="shared" si="168"/>
        <v/>
      </c>
      <c r="AA990" s="55">
        <f t="shared" si="165"/>
        <v>0</v>
      </c>
      <c r="AB990" s="55">
        <f t="shared" si="166"/>
        <v>0</v>
      </c>
      <c r="AC990" s="55">
        <f t="shared" si="164"/>
        <v>0</v>
      </c>
    </row>
    <row r="991" spans="1:29">
      <c r="A991" t="s">
        <v>215</v>
      </c>
      <c r="B991" s="16" t="str">
        <f>INDEX(emprunts!C:C,MATCH($A991,emprunts!A:A,0))</f>
        <v>Dexia CL</v>
      </c>
      <c r="C991" s="18">
        <f>INDEX(emprunts!M:M,MATCH($A991,emprunts!$A:$A,0))</f>
        <v>38991</v>
      </c>
      <c r="D991" s="18">
        <f>IF(INDEX(emprunts!O:O,MATCH($A991,emprunts!$A:$A,0))="",INDEX(emprunts!N:N,MATCH($A991,emprunts!$A:$A,0)),MIN(INDEX(emprunts!N:N,MATCH($A991,emprunts!$A:$A,0)),INDEX(emprunts!O:O,MATCH($A991,emprunts!$A:$A,0))))</f>
        <v>40087</v>
      </c>
      <c r="E991" s="52">
        <f>INDEX(emprunts!I:I,MATCH($A991,emprunts!$A:$A,0))</f>
        <v>19</v>
      </c>
      <c r="F991" s="18" t="str">
        <f>INDEX(emprunts!P:P,MATCH($A991,emprunts!$A:$A,0))</f>
        <v>Change</v>
      </c>
      <c r="G991" s="126" t="str">
        <f>IF(LEFT(A991,3)="vx_","vx",INDEX(Categorie,MATCH($A991,emprunts!$A$2:$A$149,0)))</f>
        <v>Struct</v>
      </c>
      <c r="H991">
        <v>2015</v>
      </c>
      <c r="I991">
        <f t="shared" si="169"/>
        <v>1</v>
      </c>
      <c r="N991"/>
      <c r="O991" s="58"/>
      <c r="P991" s="58"/>
      <c r="Q991" s="58"/>
      <c r="R991" s="58"/>
      <c r="S991" s="58"/>
      <c r="T991" s="58"/>
      <c r="U991" s="58"/>
      <c r="V991" s="14" t="str">
        <f t="shared" si="167"/>
        <v/>
      </c>
      <c r="W991" s="77"/>
      <c r="X991" s="85">
        <f t="shared" si="170"/>
        <v>0</v>
      </c>
      <c r="Y991" s="21" t="str">
        <f t="shared" si="168"/>
        <v/>
      </c>
      <c r="AA991" s="55">
        <f t="shared" si="165"/>
        <v>0</v>
      </c>
      <c r="AB991" s="55">
        <f t="shared" si="166"/>
        <v>0</v>
      </c>
      <c r="AC991" s="55">
        <f t="shared" si="164"/>
        <v>0</v>
      </c>
    </row>
    <row r="992" spans="1:29">
      <c r="A992" t="s">
        <v>217</v>
      </c>
      <c r="B992" s="16" t="str">
        <f>INDEX(emprunts!C:C,MATCH($A992,emprunts!A:A,0))</f>
        <v>Dexia CL</v>
      </c>
      <c r="C992" s="18">
        <f>INDEX(emprunts!M:M,MATCH($A992,emprunts!$A:$A,0))</f>
        <v>38991</v>
      </c>
      <c r="D992" s="18">
        <f>IF(INDEX(emprunts!O:O,MATCH($A992,emprunts!$A:$A,0))="",INDEX(emprunts!N:N,MATCH($A992,emprunts!$A:$A,0)),MIN(INDEX(emprunts!N:N,MATCH($A992,emprunts!$A:$A,0)),INDEX(emprunts!O:O,MATCH($A992,emprunts!$A:$A,0))))</f>
        <v>39783</v>
      </c>
      <c r="E992" s="52">
        <f>INDEX(emprunts!I:I,MATCH($A992,emprunts!$A:$A,0))</f>
        <v>19.170000000000002</v>
      </c>
      <c r="F992" s="18" t="str">
        <f>INDEX(emprunts!P:P,MATCH($A992,emprunts!$A:$A,0))</f>
        <v>Change</v>
      </c>
      <c r="G992" s="126" t="str">
        <f>IF(LEFT(A992,3)="vx_","vx",INDEX(Categorie,MATCH($A992,emprunts!$A$2:$A$149,0)))</f>
        <v>Struct</v>
      </c>
      <c r="H992">
        <v>2015</v>
      </c>
      <c r="I992">
        <f t="shared" si="169"/>
        <v>1</v>
      </c>
      <c r="N992"/>
      <c r="O992" s="58"/>
      <c r="P992" s="58"/>
      <c r="Q992" s="58"/>
      <c r="R992" s="58"/>
      <c r="S992" s="58"/>
      <c r="T992" s="58"/>
      <c r="U992" s="58"/>
      <c r="V992" s="14" t="str">
        <f t="shared" si="167"/>
        <v/>
      </c>
      <c r="W992" s="77"/>
      <c r="X992" s="85">
        <f t="shared" si="170"/>
        <v>0</v>
      </c>
      <c r="Y992" s="21" t="str">
        <f t="shared" si="168"/>
        <v/>
      </c>
      <c r="AA992" s="55">
        <f t="shared" si="165"/>
        <v>0</v>
      </c>
      <c r="AB992" s="55">
        <f t="shared" si="166"/>
        <v>0</v>
      </c>
      <c r="AC992" s="55">
        <f t="shared" si="164"/>
        <v>0</v>
      </c>
    </row>
    <row r="993" spans="1:29">
      <c r="A993" t="s">
        <v>222</v>
      </c>
      <c r="B993" s="16" t="str">
        <f>INDEX(emprunts!C:C,MATCH($A993,emprunts!A:A,0))</f>
        <v>Dexia CL</v>
      </c>
      <c r="C993" s="18">
        <f>INDEX(emprunts!M:M,MATCH($A993,emprunts!$A:$A,0))</f>
        <v>39114</v>
      </c>
      <c r="D993" s="18">
        <f>IF(INDEX(emprunts!O:O,MATCH($A993,emprunts!$A:$A,0))="",INDEX(emprunts!N:N,MATCH($A993,emprunts!$A:$A,0)),MIN(INDEX(emprunts!N:N,MATCH($A993,emprunts!$A:$A,0)),INDEX(emprunts!O:O,MATCH($A993,emprunts!$A:$A,0))))</f>
        <v>39668</v>
      </c>
      <c r="E993" s="52">
        <f>INDEX(emprunts!I:I,MATCH($A993,emprunts!$A:$A,0))</f>
        <v>18.75</v>
      </c>
      <c r="F993" s="18" t="str">
        <f>INDEX(emprunts!P:P,MATCH($A993,emprunts!$A:$A,0))</f>
        <v>Change</v>
      </c>
      <c r="G993" s="126" t="str">
        <f>IF(LEFT(A993,3)="vx_","vx",INDEX(Categorie,MATCH($A993,emprunts!$A$2:$A$149,0)))</f>
        <v>Struct</v>
      </c>
      <c r="H993">
        <v>2015</v>
      </c>
      <c r="I993">
        <f t="shared" si="169"/>
        <v>1</v>
      </c>
      <c r="N993"/>
      <c r="O993" s="58"/>
      <c r="P993" s="58"/>
      <c r="Q993" s="58"/>
      <c r="R993" s="58"/>
      <c r="S993" s="58"/>
      <c r="T993" s="58"/>
      <c r="U993" s="58"/>
      <c r="V993" s="14" t="str">
        <f t="shared" si="167"/>
        <v/>
      </c>
      <c r="W993" s="77"/>
      <c r="X993" s="85">
        <f t="shared" si="170"/>
        <v>0</v>
      </c>
      <c r="Y993" s="21" t="str">
        <f t="shared" si="168"/>
        <v/>
      </c>
      <c r="AA993" s="55">
        <f t="shared" si="165"/>
        <v>0</v>
      </c>
      <c r="AB993" s="55">
        <f t="shared" si="166"/>
        <v>0</v>
      </c>
      <c r="AC993" s="55">
        <f t="shared" si="164"/>
        <v>0</v>
      </c>
    </row>
    <row r="994" spans="1:29">
      <c r="A994" t="s">
        <v>223</v>
      </c>
      <c r="B994" s="16" t="str">
        <f>INDEX(emprunts!C:C,MATCH($A994,emprunts!A:A,0))</f>
        <v>Crédit Agricole</v>
      </c>
      <c r="C994" s="18">
        <f>INDEX(emprunts!M:M,MATCH($A994,emprunts!$A:$A,0))</f>
        <v>39182</v>
      </c>
      <c r="D994" s="18">
        <f>IF(INDEX(emprunts!O:O,MATCH($A994,emprunts!$A:$A,0))="",INDEX(emprunts!N:N,MATCH($A994,emprunts!$A:$A,0)),MIN(INDEX(emprunts!N:N,MATCH($A994,emprunts!$A:$A,0)),INDEX(emprunts!O:O,MATCH($A994,emprunts!$A:$A,0))))</f>
        <v>46813</v>
      </c>
      <c r="E994" s="52">
        <f>INDEX(emprunts!I:I,MATCH($A994,emprunts!$A:$A,0))</f>
        <v>20</v>
      </c>
      <c r="F994" s="18" t="str">
        <f>INDEX(emprunts!P:P,MATCH($A994,emprunts!$A:$A,0))</f>
        <v>Pente</v>
      </c>
      <c r="G994" s="126" t="str">
        <f>IF(LEFT(A994,3)="vx_","vx",INDEX(Categorie,MATCH($A994,emprunts!$A$2:$A$149,0)))</f>
        <v>Struct</v>
      </c>
      <c r="H994">
        <v>2015</v>
      </c>
      <c r="I994">
        <f t="shared" si="169"/>
        <v>1</v>
      </c>
      <c r="N994" s="14">
        <v>5000000</v>
      </c>
      <c r="O994" s="58">
        <v>3546901</v>
      </c>
      <c r="P994" s="75">
        <v>3.5700000000000003E-2</v>
      </c>
      <c r="Q994" s="58">
        <v>131984.14000000001</v>
      </c>
      <c r="R994" s="58">
        <v>215640.65</v>
      </c>
      <c r="S994" s="58"/>
      <c r="T994" s="58">
        <v>10345.129999999999</v>
      </c>
      <c r="U994" s="58">
        <f>SUM(Q994:S994)</f>
        <v>347624.79000000004</v>
      </c>
      <c r="V994" s="14">
        <f t="shared" si="167"/>
        <v>0</v>
      </c>
      <c r="W994" s="77"/>
      <c r="X994" s="85">
        <f t="shared" si="170"/>
        <v>0</v>
      </c>
      <c r="Y994" s="21">
        <f t="shared" si="168"/>
        <v>3.6039972461263767E-2</v>
      </c>
      <c r="AA994" s="55">
        <f t="shared" si="165"/>
        <v>131355.19000000003</v>
      </c>
      <c r="AB994" s="55">
        <f t="shared" si="166"/>
        <v>-0.35000000009313226</v>
      </c>
      <c r="AC994" s="55">
        <f t="shared" ref="AC994:AC1052" si="171">MAX(0,(C994-DATE(H994,1,1))/365)*0+MAX(0,MIN(1,(MIN(DATE(H994,12,31),D994)-MAX(DATE(H994,1,1),C994))/365))*(O994+X994+R994/2)</f>
        <v>3644708.3898630138</v>
      </c>
    </row>
    <row r="995" spans="1:29">
      <c r="A995" t="s">
        <v>227</v>
      </c>
      <c r="B995" s="16" t="str">
        <f>INDEX(emprunts!C:C,MATCH($A995,emprunts!A:A,0))</f>
        <v>Dexia CL</v>
      </c>
      <c r="C995" s="18">
        <f>INDEX(emprunts!M:M,MATCH($A995,emprunts!$A:$A,0))</f>
        <v>39203</v>
      </c>
      <c r="D995" s="18">
        <f>IF(INDEX(emprunts!O:O,MATCH($A995,emprunts!$A:$A,0))="",INDEX(emprunts!N:N,MATCH($A995,emprunts!$A:$A,0)),MIN(INDEX(emprunts!N:N,MATCH($A995,emprunts!$A:$A,0)),INDEX(emprunts!O:O,MATCH($A995,emprunts!$A:$A,0))))</f>
        <v>40176</v>
      </c>
      <c r="E995" s="52">
        <f>INDEX(emprunts!I:I,MATCH($A995,emprunts!$A:$A,0))</f>
        <v>17</v>
      </c>
      <c r="F995" s="18" t="str">
        <f>INDEX(emprunts!P:P,MATCH($A995,emprunts!$A:$A,0))</f>
        <v>Courbes</v>
      </c>
      <c r="G995" s="126" t="str">
        <f>IF(LEFT(A995,3)="vx_","vx",INDEX(Categorie,MATCH($A995,emprunts!$A$2:$A$149,0)))</f>
        <v>Struct</v>
      </c>
      <c r="H995">
        <v>2015</v>
      </c>
      <c r="I995">
        <f t="shared" si="169"/>
        <v>1</v>
      </c>
      <c r="N995"/>
      <c r="O995" s="58"/>
      <c r="P995" s="58"/>
      <c r="Q995" s="58"/>
      <c r="R995" s="58"/>
      <c r="S995" s="58"/>
      <c r="T995" s="58"/>
      <c r="U995" s="58"/>
      <c r="V995" s="14" t="str">
        <f t="shared" si="167"/>
        <v/>
      </c>
      <c r="W995" s="77"/>
      <c r="X995" s="85">
        <f t="shared" si="170"/>
        <v>0</v>
      </c>
      <c r="Y995" s="21" t="str">
        <f t="shared" si="168"/>
        <v/>
      </c>
      <c r="AA995" s="55">
        <f t="shared" si="165"/>
        <v>0</v>
      </c>
      <c r="AB995" s="55">
        <f t="shared" si="166"/>
        <v>0</v>
      </c>
      <c r="AC995" s="55">
        <f t="shared" si="171"/>
        <v>0</v>
      </c>
    </row>
    <row r="996" spans="1:29">
      <c r="A996" t="s">
        <v>231</v>
      </c>
      <c r="B996" s="16" t="str">
        <f>INDEX(emprunts!C:C,MATCH($A996,emprunts!A:A,0))</f>
        <v>Dexia CL</v>
      </c>
      <c r="C996" s="18">
        <f>INDEX(emprunts!M:M,MATCH($A996,emprunts!$A:$A,0))</f>
        <v>39203</v>
      </c>
      <c r="D996" s="18">
        <f>IF(INDEX(emprunts!O:O,MATCH($A996,emprunts!$A:$A,0))="",INDEX(emprunts!N:N,MATCH($A996,emprunts!$A:$A,0)),MIN(INDEX(emprunts!N:N,MATCH($A996,emprunts!$A:$A,0)),INDEX(emprunts!O:O,MATCH($A996,emprunts!$A:$A,0))))</f>
        <v>40176</v>
      </c>
      <c r="E996" s="52">
        <f>INDEX(emprunts!I:I,MATCH($A996,emprunts!$A:$A,0))</f>
        <v>16.920000000000002</v>
      </c>
      <c r="F996" s="18" t="str">
        <f>INDEX(emprunts!P:P,MATCH($A996,emprunts!$A:$A,0))</f>
        <v>Écart d'inflation</v>
      </c>
      <c r="G996" s="126" t="str">
        <f>IF(LEFT(A996,3)="vx_","vx",INDEX(Categorie,MATCH($A996,emprunts!$A$2:$A$149,0)))</f>
        <v>Struct</v>
      </c>
      <c r="H996">
        <v>2015</v>
      </c>
      <c r="I996">
        <f t="shared" si="169"/>
        <v>1</v>
      </c>
      <c r="N996"/>
      <c r="O996" s="58"/>
      <c r="P996" s="58"/>
      <c r="Q996" s="58"/>
      <c r="R996" s="58"/>
      <c r="S996" s="58"/>
      <c r="T996" s="58"/>
      <c r="U996" s="58"/>
      <c r="V996" s="14" t="str">
        <f t="shared" si="167"/>
        <v/>
      </c>
      <c r="W996" s="77"/>
      <c r="X996" s="85">
        <f t="shared" si="170"/>
        <v>0</v>
      </c>
      <c r="Y996" s="21" t="str">
        <f t="shared" si="168"/>
        <v/>
      </c>
      <c r="AA996" s="55">
        <f t="shared" si="165"/>
        <v>0</v>
      </c>
      <c r="AB996" s="55">
        <f t="shared" si="166"/>
        <v>0</v>
      </c>
      <c r="AC996" s="55">
        <f t="shared" si="171"/>
        <v>0</v>
      </c>
    </row>
    <row r="997" spans="1:29">
      <c r="A997" t="s">
        <v>233</v>
      </c>
      <c r="B997" s="16" t="str">
        <f>INDEX(emprunts!C:C,MATCH($A997,emprunts!A:A,0))</f>
        <v>Société Générale</v>
      </c>
      <c r="C997" s="18">
        <f>INDEX(emprunts!M:M,MATCH($A997,emprunts!$A:$A,0))</f>
        <v>39226</v>
      </c>
      <c r="D997" s="18">
        <f>IF(INDEX(emprunts!O:O,MATCH($A997,emprunts!$A:$A,0))="",INDEX(emprunts!N:N,MATCH($A997,emprunts!$A:$A,0)),MIN(INDEX(emprunts!N:N,MATCH($A997,emprunts!$A:$A,0)),INDEX(emprunts!O:O,MATCH($A997,emprunts!$A:$A,0))))</f>
        <v>39904</v>
      </c>
      <c r="E997" s="52">
        <f>INDEX(emprunts!I:I,MATCH($A997,emprunts!$A:$A,0))</f>
        <v>19</v>
      </c>
      <c r="F997" s="18" t="str">
        <f>INDEX(emprunts!P:P,MATCH($A997,emprunts!$A:$A,0))</f>
        <v>Change</v>
      </c>
      <c r="G997" s="126" t="str">
        <f>IF(LEFT(A997,3)="vx_","vx",INDEX(Categorie,MATCH($A997,emprunts!$A$2:$A$149,0)))</f>
        <v>Struct</v>
      </c>
      <c r="H997">
        <v>2015</v>
      </c>
      <c r="I997">
        <f t="shared" si="169"/>
        <v>1</v>
      </c>
      <c r="N997"/>
      <c r="O997" s="58"/>
      <c r="P997" s="58"/>
      <c r="Q997" s="58"/>
      <c r="R997" s="58"/>
      <c r="S997" s="58"/>
      <c r="T997" s="58"/>
      <c r="U997" s="58"/>
      <c r="V997" s="14" t="str">
        <f t="shared" si="167"/>
        <v/>
      </c>
      <c r="W997" s="77"/>
      <c r="X997" s="85">
        <f t="shared" si="170"/>
        <v>0</v>
      </c>
      <c r="Y997" s="21" t="str">
        <f t="shared" si="168"/>
        <v/>
      </c>
      <c r="AA997" s="55">
        <f t="shared" si="165"/>
        <v>0</v>
      </c>
      <c r="AB997" s="55">
        <f t="shared" si="166"/>
        <v>0</v>
      </c>
      <c r="AC997" s="55">
        <f t="shared" si="171"/>
        <v>0</v>
      </c>
    </row>
    <row r="998" spans="1:29">
      <c r="A998" t="s">
        <v>235</v>
      </c>
      <c r="B998" s="16" t="str">
        <f>INDEX(emprunts!C:C,MATCH($A998,emprunts!A:A,0))</f>
        <v>Caisse d'Épargne</v>
      </c>
      <c r="C998" s="18">
        <f>INDEX(emprunts!M:M,MATCH($A998,emprunts!$A:$A,0))</f>
        <v>39288</v>
      </c>
      <c r="D998" s="18">
        <f>IF(INDEX(emprunts!O:O,MATCH($A998,emprunts!$A:$A,0))="",INDEX(emprunts!N:N,MATCH($A998,emprunts!$A:$A,0)),MIN(INDEX(emprunts!N:N,MATCH($A998,emprunts!$A:$A,0)),INDEX(emprunts!O:O,MATCH($A998,emprunts!$A:$A,0))))</f>
        <v>40964</v>
      </c>
      <c r="E998" s="52">
        <f>INDEX(emprunts!I:I,MATCH($A998,emprunts!$A:$A,0))</f>
        <v>18.579999999999998</v>
      </c>
      <c r="F998" s="18" t="str">
        <f>INDEX(emprunts!P:P,MATCH($A998,emprunts!$A:$A,0))</f>
        <v>Courbes</v>
      </c>
      <c r="G998" s="126" t="str">
        <f>IF(LEFT(A998,3)="vx_","vx",INDEX(Categorie,MATCH($A998,emprunts!$A$2:$A$149,0)))</f>
        <v>Struct</v>
      </c>
      <c r="H998">
        <v>2015</v>
      </c>
      <c r="I998">
        <f t="shared" si="169"/>
        <v>1</v>
      </c>
      <c r="N998"/>
      <c r="O998" s="58"/>
      <c r="P998" s="58"/>
      <c r="Q998" s="58"/>
      <c r="R998" s="58"/>
      <c r="S998" s="58"/>
      <c r="T998" s="58"/>
      <c r="U998" s="58"/>
      <c r="V998" s="14" t="str">
        <f t="shared" si="167"/>
        <v/>
      </c>
      <c r="W998" s="77"/>
      <c r="X998" s="85">
        <f t="shared" si="170"/>
        <v>0</v>
      </c>
      <c r="Y998" s="21" t="str">
        <f t="shared" si="168"/>
        <v/>
      </c>
      <c r="AA998" s="55">
        <f t="shared" si="165"/>
        <v>0</v>
      </c>
      <c r="AB998" s="55">
        <f t="shared" si="166"/>
        <v>0</v>
      </c>
      <c r="AC998" s="55">
        <f t="shared" si="171"/>
        <v>0</v>
      </c>
    </row>
    <row r="999" spans="1:29">
      <c r="A999" t="s">
        <v>246</v>
      </c>
      <c r="B999" s="16" t="str">
        <f>INDEX(emprunts!C:C,MATCH($A999,emprunts!A:A,0))</f>
        <v>Dexia CL</v>
      </c>
      <c r="C999" s="18">
        <f>INDEX(emprunts!M:M,MATCH($A999,emprunts!$A:$A,0))</f>
        <v>39350</v>
      </c>
      <c r="D999" s="18">
        <f>IF(INDEX(emprunts!O:O,MATCH($A999,emprunts!$A:$A,0))="",INDEX(emprunts!N:N,MATCH($A999,emprunts!$A:$A,0)),MIN(INDEX(emprunts!N:N,MATCH($A999,emprunts!$A:$A,0)),INDEX(emprunts!O:O,MATCH($A999,emprunts!$A:$A,0))))</f>
        <v>40179</v>
      </c>
      <c r="E999" s="52">
        <f>INDEX(emprunts!I:I,MATCH($A999,emprunts!$A:$A,0))</f>
        <v>25.42</v>
      </c>
      <c r="F999" s="18" t="str">
        <f>INDEX(emprunts!P:P,MATCH($A999,emprunts!$A:$A,0))</f>
        <v>Barrière avec multiplicateur</v>
      </c>
      <c r="G999" s="126" t="str">
        <f>IF(LEFT(A999,3)="vx_","vx",INDEX(Categorie,MATCH($A999,emprunts!$A$2:$A$149,0)))</f>
        <v>Struct</v>
      </c>
      <c r="H999">
        <v>2015</v>
      </c>
      <c r="I999">
        <f t="shared" si="169"/>
        <v>1</v>
      </c>
      <c r="N999"/>
      <c r="O999" s="58"/>
      <c r="P999" s="58"/>
      <c r="Q999" s="58"/>
      <c r="R999" s="58"/>
      <c r="S999" s="58"/>
      <c r="T999" s="58"/>
      <c r="U999" s="58"/>
      <c r="V999" s="14" t="str">
        <f t="shared" si="167"/>
        <v/>
      </c>
      <c r="W999" s="77"/>
      <c r="X999" s="85">
        <f t="shared" si="170"/>
        <v>0</v>
      </c>
      <c r="Y999" s="21" t="str">
        <f t="shared" si="168"/>
        <v/>
      </c>
      <c r="AA999" s="55">
        <f t="shared" si="165"/>
        <v>0</v>
      </c>
      <c r="AB999" s="55">
        <f t="shared" si="166"/>
        <v>0</v>
      </c>
      <c r="AC999" s="55">
        <f t="shared" si="171"/>
        <v>0</v>
      </c>
    </row>
    <row r="1000" spans="1:29">
      <c r="A1000" t="s">
        <v>250</v>
      </c>
      <c r="B1000" s="16" t="str">
        <f>INDEX(emprunts!C:C,MATCH($A1000,emprunts!A:A,0))</f>
        <v>Caisse d'Épargne</v>
      </c>
      <c r="C1000" s="18">
        <f>INDEX(emprunts!M:M,MATCH($A1000,emprunts!$A:$A,0))</f>
        <v>39447</v>
      </c>
      <c r="D1000" s="18">
        <f>IF(INDEX(emprunts!O:O,MATCH($A1000,emprunts!$A:$A,0))="",INDEX(emprunts!N:N,MATCH($A1000,emprunts!$A:$A,0)),MIN(INDEX(emprunts!N:N,MATCH($A1000,emprunts!$A:$A,0)),INDEX(emprunts!O:O,MATCH($A1000,emprunts!$A:$A,0))))</f>
        <v>41330</v>
      </c>
      <c r="E1000" s="52">
        <f>INDEX(emprunts!I:I,MATCH($A1000,emprunts!$A:$A,0))</f>
        <v>20</v>
      </c>
      <c r="F1000" s="18" t="str">
        <f>INDEX(emprunts!P:P,MATCH($A1000,emprunts!$A:$A,0))</f>
        <v>Courbes</v>
      </c>
      <c r="G1000" s="126" t="str">
        <f>IF(LEFT(A1000,3)="vx_","vx",INDEX(Categorie,MATCH($A1000,emprunts!$A$2:$A$149,0)))</f>
        <v>Struct</v>
      </c>
      <c r="H1000">
        <v>2015</v>
      </c>
      <c r="I1000">
        <f t="shared" si="169"/>
        <v>1</v>
      </c>
      <c r="N1000"/>
      <c r="O1000" s="58"/>
      <c r="P1000" s="58"/>
      <c r="Q1000" s="58"/>
      <c r="R1000" s="58"/>
      <c r="S1000" s="58"/>
      <c r="T1000" s="58"/>
      <c r="U1000" s="58"/>
      <c r="V1000" s="14" t="str">
        <f t="shared" si="167"/>
        <v/>
      </c>
      <c r="W1000" s="77"/>
      <c r="X1000" s="85">
        <f t="shared" si="170"/>
        <v>0</v>
      </c>
      <c r="Y1000" s="21" t="str">
        <f t="shared" si="168"/>
        <v/>
      </c>
      <c r="AA1000" s="55">
        <f t="shared" si="165"/>
        <v>0</v>
      </c>
      <c r="AB1000" s="55">
        <f t="shared" si="166"/>
        <v>0</v>
      </c>
      <c r="AC1000" s="55">
        <f t="shared" si="171"/>
        <v>0</v>
      </c>
    </row>
    <row r="1001" spans="1:29">
      <c r="A1001" t="s">
        <v>253</v>
      </c>
      <c r="B1001" s="16" t="str">
        <f>INDEX(emprunts!C:C,MATCH($A1001,emprunts!A:A,0))</f>
        <v>Dexia CL</v>
      </c>
      <c r="C1001" s="18">
        <f>INDEX(emprunts!M:M,MATCH($A1001,emprunts!$A:$A,0))</f>
        <v>40176</v>
      </c>
      <c r="D1001" s="18">
        <f>IF(INDEX(emprunts!O:O,MATCH($A1001,emprunts!$A:$A,0))="",INDEX(emprunts!N:N,MATCH($A1001,emprunts!$A:$A,0)),MIN(INDEX(emprunts!N:N,MATCH($A1001,emprunts!$A:$A,0)),INDEX(emprunts!O:O,MATCH($A1001,emprunts!$A:$A,0))))</f>
        <v>40299</v>
      </c>
      <c r="E1001" s="52">
        <f>INDEX(emprunts!I:I,MATCH($A1001,emprunts!$A:$A,0))</f>
        <v>20.83</v>
      </c>
      <c r="F1001" s="18" t="str">
        <f>INDEX(emprunts!P:P,MATCH($A1001,emprunts!$A:$A,0))</f>
        <v>Courbes</v>
      </c>
      <c r="G1001" s="126" t="str">
        <f>IF(LEFT(A1001,3)="vx_","vx",INDEX(Categorie,MATCH($A1001,emprunts!$A$2:$A$149,0)))</f>
        <v>Struct</v>
      </c>
      <c r="H1001">
        <v>2015</v>
      </c>
      <c r="I1001">
        <f t="shared" si="169"/>
        <v>1</v>
      </c>
      <c r="N1001"/>
      <c r="O1001" s="58"/>
      <c r="P1001" s="58"/>
      <c r="Q1001" s="58"/>
      <c r="R1001" s="58"/>
      <c r="S1001" s="58"/>
      <c r="T1001" s="58"/>
      <c r="U1001" s="58"/>
      <c r="V1001" s="14" t="str">
        <f t="shared" si="167"/>
        <v/>
      </c>
      <c r="W1001" s="77"/>
      <c r="X1001" s="85">
        <f t="shared" si="170"/>
        <v>0</v>
      </c>
      <c r="Y1001" s="21" t="str">
        <f t="shared" si="168"/>
        <v/>
      </c>
      <c r="AA1001" s="55">
        <f t="shared" si="165"/>
        <v>0</v>
      </c>
      <c r="AB1001" s="55">
        <f t="shared" si="166"/>
        <v>0</v>
      </c>
      <c r="AC1001" s="55">
        <f t="shared" si="171"/>
        <v>0</v>
      </c>
    </row>
    <row r="1002" spans="1:29">
      <c r="A1002" t="s">
        <v>255</v>
      </c>
      <c r="B1002" s="16" t="str">
        <f>INDEX(emprunts!C:C,MATCH($A1002,emprunts!A:A,0))</f>
        <v>Dexia CL</v>
      </c>
      <c r="C1002" s="18">
        <f>INDEX(emprunts!M:M,MATCH($A1002,emprunts!$A:$A,0))</f>
        <v>39668</v>
      </c>
      <c r="D1002" s="18">
        <f>IF(INDEX(emprunts!O:O,MATCH($A1002,emprunts!$A:$A,0))="",INDEX(emprunts!N:N,MATCH($A1002,emprunts!$A:$A,0)),MIN(INDEX(emprunts!N:N,MATCH($A1002,emprunts!$A:$A,0)),INDEX(emprunts!O:O,MATCH($A1002,emprunts!$A:$A,0))))</f>
        <v>40848</v>
      </c>
      <c r="E1002" s="52">
        <f>INDEX(emprunts!I:I,MATCH($A1002,emprunts!$A:$A,0))</f>
        <v>25.33</v>
      </c>
      <c r="F1002" s="18" t="str">
        <f>INDEX(emprunts!P:P,MATCH($A1002,emprunts!$A:$A,0))</f>
        <v>Change</v>
      </c>
      <c r="G1002" s="126" t="str">
        <f>IF(LEFT(A1002,3)="vx_","vx",INDEX(Categorie,MATCH($A1002,emprunts!$A$2:$A$149,0)))</f>
        <v>Struct</v>
      </c>
      <c r="H1002">
        <v>2015</v>
      </c>
      <c r="I1002">
        <f t="shared" si="169"/>
        <v>1</v>
      </c>
      <c r="N1002"/>
      <c r="O1002" s="58"/>
      <c r="P1002" s="58"/>
      <c r="Q1002" s="58"/>
      <c r="R1002" s="58"/>
      <c r="S1002" s="58"/>
      <c r="T1002" s="58"/>
      <c r="U1002" s="58"/>
      <c r="V1002" s="14" t="str">
        <f t="shared" si="167"/>
        <v/>
      </c>
      <c r="W1002" s="77"/>
      <c r="X1002" s="85">
        <f t="shared" si="170"/>
        <v>0</v>
      </c>
      <c r="Y1002" s="21" t="str">
        <f t="shared" si="168"/>
        <v/>
      </c>
      <c r="AA1002" s="55">
        <f t="shared" si="165"/>
        <v>0</v>
      </c>
      <c r="AB1002" s="55">
        <f t="shared" si="166"/>
        <v>0</v>
      </c>
      <c r="AC1002" s="55">
        <f t="shared" si="171"/>
        <v>0</v>
      </c>
    </row>
    <row r="1003" spans="1:29">
      <c r="A1003" t="s">
        <v>256</v>
      </c>
      <c r="B1003" s="16" t="str">
        <f>INDEX(emprunts!C:C,MATCH($A1003,emprunts!A:A,0))</f>
        <v>Dexia CL</v>
      </c>
      <c r="C1003" s="18">
        <f>INDEX(emprunts!M:M,MATCH($A1003,emprunts!$A:$A,0))</f>
        <v>39668</v>
      </c>
      <c r="D1003" s="18">
        <f>IF(INDEX(emprunts!O:O,MATCH($A1003,emprunts!$A:$A,0))="",INDEX(emprunts!N:N,MATCH($A1003,emprunts!$A:$A,0)),MIN(INDEX(emprunts!N:N,MATCH($A1003,emprunts!$A:$A,0)),INDEX(emprunts!O:O,MATCH($A1003,emprunts!$A:$A,0))))</f>
        <v>41214</v>
      </c>
      <c r="E1003" s="52">
        <f>INDEX(emprunts!I:I,MATCH($A1003,emprunts!$A:$A,0))</f>
        <v>25.33</v>
      </c>
      <c r="F1003" s="18" t="str">
        <f>INDEX(emprunts!P:P,MATCH($A1003,emprunts!$A:$A,0))</f>
        <v>Change</v>
      </c>
      <c r="G1003" s="126" t="str">
        <f>IF(LEFT(A1003,3)="vx_","vx",INDEX(Categorie,MATCH($A1003,emprunts!$A$2:$A$149,0)))</f>
        <v>Struct</v>
      </c>
      <c r="H1003">
        <v>2015</v>
      </c>
      <c r="I1003">
        <f t="shared" si="169"/>
        <v>1</v>
      </c>
      <c r="N1003"/>
      <c r="O1003" s="58"/>
      <c r="P1003" s="58"/>
      <c r="Q1003" s="58"/>
      <c r="R1003" s="58"/>
      <c r="S1003" s="58"/>
      <c r="T1003" s="58"/>
      <c r="U1003" s="58"/>
      <c r="V1003" s="14" t="str">
        <f t="shared" si="167"/>
        <v/>
      </c>
      <c r="W1003" s="77"/>
      <c r="X1003" s="85">
        <f t="shared" si="170"/>
        <v>0</v>
      </c>
      <c r="Y1003" s="21" t="str">
        <f t="shared" si="168"/>
        <v/>
      </c>
      <c r="AA1003" s="55">
        <f t="shared" si="165"/>
        <v>0</v>
      </c>
      <c r="AB1003" s="55">
        <f t="shared" si="166"/>
        <v>0</v>
      </c>
      <c r="AC1003" s="55">
        <f t="shared" si="171"/>
        <v>0</v>
      </c>
    </row>
    <row r="1004" spans="1:29">
      <c r="A1004" t="s">
        <v>257</v>
      </c>
      <c r="B1004" s="16" t="str">
        <f>INDEX(emprunts!C:C,MATCH($A1004,emprunts!A:A,0))</f>
        <v>Dexia CL</v>
      </c>
      <c r="C1004" s="18">
        <f>INDEX(emprunts!M:M,MATCH($A1004,emprunts!$A:$A,0))</f>
        <v>41214</v>
      </c>
      <c r="D1004" s="18">
        <f>IF(INDEX(emprunts!O:O,MATCH($A1004,emprunts!$A:$A,0))="",INDEX(emprunts!N:N,MATCH($A1004,emprunts!$A:$A,0)),MIN(INDEX(emprunts!N:N,MATCH($A1004,emprunts!$A:$A,0)),INDEX(emprunts!O:O,MATCH($A1004,emprunts!$A:$A,0))))</f>
        <v>43040</v>
      </c>
      <c r="E1004" s="52">
        <f>INDEX(emprunts!I:I,MATCH($A1004,emprunts!$A:$A,0))</f>
        <v>25</v>
      </c>
      <c r="F1004" s="18" t="str">
        <f>INDEX(emprunts!P:P,MATCH($A1004,emprunts!$A:$A,0))</f>
        <v>Change</v>
      </c>
      <c r="G1004" s="126" t="str">
        <f>IF(LEFT(A1004,3)="vx_","vx",INDEX(Categorie,MATCH($A1004,emprunts!$A$2:$A$149,0)))</f>
        <v>Struct</v>
      </c>
      <c r="H1004">
        <v>2015</v>
      </c>
      <c r="I1004">
        <f t="shared" si="169"/>
        <v>1</v>
      </c>
      <c r="N1004"/>
      <c r="O1004" s="58">
        <v>8016699</v>
      </c>
      <c r="P1004" s="75">
        <v>2.9899999999999999E-2</v>
      </c>
      <c r="Q1004" s="58">
        <v>248734.88</v>
      </c>
      <c r="R1004" s="58">
        <v>271393.69</v>
      </c>
      <c r="S1004" s="58"/>
      <c r="T1004" s="58">
        <v>39549.050000000003</v>
      </c>
      <c r="U1004" s="58">
        <f>SUM(Q1004:S1004)</f>
        <v>520128.57</v>
      </c>
      <c r="V1004" s="14">
        <f t="shared" si="167"/>
        <v>0</v>
      </c>
      <c r="W1004" s="77"/>
      <c r="X1004" s="85">
        <f t="shared" si="170"/>
        <v>0</v>
      </c>
      <c r="Y1004" s="21">
        <f t="shared" si="168"/>
        <v>3.0429785802514518E-2</v>
      </c>
      <c r="AA1004" s="55">
        <f t="shared" si="165"/>
        <v>247396</v>
      </c>
      <c r="AB1004" s="55">
        <f t="shared" si="166"/>
        <v>-0.30999999959021807</v>
      </c>
      <c r="AC1004" s="55">
        <f t="shared" si="171"/>
        <v>8130060.5139178084</v>
      </c>
    </row>
    <row r="1005" spans="1:29">
      <c r="A1005" t="s">
        <v>261</v>
      </c>
      <c r="B1005" s="16" t="str">
        <f>INDEX(emprunts!C:C,MATCH($A1005,emprunts!A:A,0))</f>
        <v>Dexia CL</v>
      </c>
      <c r="C1005" s="18">
        <f>INDEX(emprunts!M:M,MATCH($A1005,emprunts!$A:$A,0))</f>
        <v>39783</v>
      </c>
      <c r="D1005" s="18">
        <f>IF(INDEX(emprunts!O:O,MATCH($A1005,emprunts!$A:$A,0))="",INDEX(emprunts!N:N,MATCH($A1005,emprunts!$A:$A,0)),MIN(INDEX(emprunts!N:N,MATCH($A1005,emprunts!$A:$A,0)),INDEX(emprunts!O:O,MATCH($A1005,emprunts!$A:$A,0))))</f>
        <v>40513</v>
      </c>
      <c r="E1005" s="52">
        <f>INDEX(emprunts!I:I,MATCH($A1005,emprunts!$A:$A,0))</f>
        <v>17</v>
      </c>
      <c r="F1005" s="18" t="str">
        <f>INDEX(emprunts!P:P,MATCH($A1005,emprunts!$A:$A,0))</f>
        <v>Change</v>
      </c>
      <c r="G1005" s="126" t="str">
        <f>IF(LEFT(A1005,3)="vx_","vx",INDEX(Categorie,MATCH($A1005,emprunts!$A$2:$A$149,0)))</f>
        <v>Struct</v>
      </c>
      <c r="H1005">
        <v>2015</v>
      </c>
      <c r="I1005">
        <f t="shared" si="169"/>
        <v>1</v>
      </c>
      <c r="N1005"/>
      <c r="O1005" s="58"/>
      <c r="P1005" s="58"/>
      <c r="Q1005" s="58"/>
      <c r="R1005" s="58"/>
      <c r="S1005" s="58"/>
      <c r="T1005" s="58"/>
      <c r="U1005" s="58"/>
      <c r="V1005" s="14" t="str">
        <f t="shared" si="167"/>
        <v/>
      </c>
      <c r="W1005" s="77"/>
      <c r="X1005" s="85">
        <f t="shared" si="170"/>
        <v>0</v>
      </c>
      <c r="Y1005" s="21" t="str">
        <f t="shared" si="168"/>
        <v/>
      </c>
      <c r="AA1005" s="55">
        <f t="shared" si="165"/>
        <v>0</v>
      </c>
      <c r="AB1005" s="55">
        <f t="shared" si="166"/>
        <v>0</v>
      </c>
      <c r="AC1005" s="55">
        <f t="shared" si="171"/>
        <v>0</v>
      </c>
    </row>
    <row r="1006" spans="1:29">
      <c r="A1006" t="s">
        <v>263</v>
      </c>
      <c r="B1006" s="16" t="str">
        <f>INDEX(emprunts!C:C,MATCH($A1006,emprunts!A:A,0))</f>
        <v>Dexia CL</v>
      </c>
      <c r="C1006" s="18">
        <f>INDEX(emprunts!M:M,MATCH($A1006,emprunts!$A:$A,0))</f>
        <v>39783</v>
      </c>
      <c r="D1006" s="18">
        <f>IF(INDEX(emprunts!O:O,MATCH($A1006,emprunts!$A:$A,0))="",INDEX(emprunts!N:N,MATCH($A1006,emprunts!$A:$A,0)),MIN(INDEX(emprunts!N:N,MATCH($A1006,emprunts!$A:$A,0)),INDEX(emprunts!O:O,MATCH($A1006,emprunts!$A:$A,0))))</f>
        <v>41244</v>
      </c>
      <c r="E1006" s="52">
        <f>INDEX(emprunts!I:I,MATCH($A1006,emprunts!$A:$A,0))</f>
        <v>25</v>
      </c>
      <c r="F1006" s="18" t="str">
        <f>INDEX(emprunts!P:P,MATCH($A1006,emprunts!$A:$A,0))</f>
        <v>Pente</v>
      </c>
      <c r="G1006" s="126" t="str">
        <f>IF(LEFT(A1006,3)="vx_","vx",INDEX(Categorie,MATCH($A1006,emprunts!$A$2:$A$149,0)))</f>
        <v>Struct</v>
      </c>
      <c r="H1006">
        <v>2015</v>
      </c>
      <c r="I1006">
        <f t="shared" si="169"/>
        <v>1</v>
      </c>
      <c r="N1006"/>
      <c r="O1006" s="58"/>
      <c r="P1006" s="58"/>
      <c r="Q1006" s="58"/>
      <c r="R1006" s="58"/>
      <c r="S1006" s="58"/>
      <c r="T1006" s="58"/>
      <c r="U1006" s="58"/>
      <c r="V1006" s="14" t="str">
        <f t="shared" si="167"/>
        <v/>
      </c>
      <c r="W1006" s="77"/>
      <c r="X1006" s="85">
        <f t="shared" si="170"/>
        <v>0</v>
      </c>
      <c r="Y1006" s="21" t="str">
        <f t="shared" si="168"/>
        <v/>
      </c>
      <c r="AA1006" s="55">
        <f t="shared" si="165"/>
        <v>0</v>
      </c>
      <c r="AB1006" s="55">
        <f t="shared" si="166"/>
        <v>0</v>
      </c>
      <c r="AC1006" s="55">
        <f t="shared" si="171"/>
        <v>0</v>
      </c>
    </row>
    <row r="1007" spans="1:29">
      <c r="A1007" t="s">
        <v>265</v>
      </c>
      <c r="B1007" s="16" t="str">
        <f>INDEX(emprunts!C:C,MATCH($A1007,emprunts!A:A,0))</f>
        <v>Dexia CL</v>
      </c>
      <c r="C1007" s="18">
        <f>INDEX(emprunts!M:M,MATCH($A1007,emprunts!$A:$A,0))</f>
        <v>39899</v>
      </c>
      <c r="D1007" s="18">
        <f>IF(INDEX(emprunts!O:O,MATCH($A1007,emprunts!$A:$A,0))="",INDEX(emprunts!N:N,MATCH($A1007,emprunts!$A:$A,0)),MIN(INDEX(emprunts!N:N,MATCH($A1007,emprunts!$A:$A,0)),INDEX(emprunts!O:O,MATCH($A1007,emprunts!$A:$A,0))))</f>
        <v>47209</v>
      </c>
      <c r="E1007" s="52">
        <f>INDEX(emprunts!I:I,MATCH($A1007,emprunts!$A:$A,0))</f>
        <v>20</v>
      </c>
      <c r="F1007" s="18" t="str">
        <f>INDEX(emprunts!P:P,MATCH($A1007,emprunts!$A:$A,0))</f>
        <v>Fixe</v>
      </c>
      <c r="G1007" s="126" t="str">
        <f>IF(LEFT(A1007,3)="vx_","vx",INDEX(Categorie,MATCH($A1007,emprunts!$A$2:$A$149,0)))</f>
        <v>Non_st</v>
      </c>
      <c r="H1007">
        <v>2015</v>
      </c>
      <c r="I1007">
        <f t="shared" si="169"/>
        <v>1</v>
      </c>
      <c r="N1007"/>
      <c r="O1007" s="58">
        <v>4598226</v>
      </c>
      <c r="P1007" s="75">
        <v>4.53E-2</v>
      </c>
      <c r="Q1007" s="58">
        <v>215792.87</v>
      </c>
      <c r="R1007" s="58">
        <v>242935.93</v>
      </c>
      <c r="S1007" s="58"/>
      <c r="T1007" s="58">
        <v>52072.36</v>
      </c>
      <c r="U1007" s="58">
        <f>SUM(Q1007:S1007)</f>
        <v>458728.8</v>
      </c>
      <c r="V1007" s="14">
        <f t="shared" si="167"/>
        <v>0</v>
      </c>
      <c r="W1007" s="77"/>
      <c r="X1007" s="85">
        <f t="shared" si="170"/>
        <v>0</v>
      </c>
      <c r="Y1007" s="21">
        <f t="shared" si="168"/>
        <v>4.5262900761074989E-2</v>
      </c>
      <c r="AA1007" s="55">
        <f t="shared" si="165"/>
        <v>213041.75999999998</v>
      </c>
      <c r="AB1007" s="55">
        <f t="shared" si="166"/>
        <v>-7.0000000298023224E-2</v>
      </c>
      <c r="AC1007" s="55">
        <f t="shared" si="171"/>
        <v>4706763.29660274</v>
      </c>
    </row>
    <row r="1008" spans="1:29">
      <c r="A1008" t="s">
        <v>267</v>
      </c>
      <c r="B1008" s="16" t="str">
        <f>INDEX(emprunts!C:C,MATCH($A1008,emprunts!A:A,0))</f>
        <v>Société Générale</v>
      </c>
      <c r="C1008" s="18">
        <f>INDEX(emprunts!M:M,MATCH($A1008,emprunts!$A:$A,0))</f>
        <v>39904</v>
      </c>
      <c r="D1008" s="18">
        <f>IF(INDEX(emprunts!O:O,MATCH($A1008,emprunts!$A:$A,0))="",INDEX(emprunts!N:N,MATCH($A1008,emprunts!$A:$A,0)),MIN(INDEX(emprunts!N:N,MATCH($A1008,emprunts!$A:$A,0)),INDEX(emprunts!O:O,MATCH($A1008,emprunts!$A:$A,0))))</f>
        <v>40452</v>
      </c>
      <c r="E1008" s="52">
        <f>INDEX(emprunts!I:I,MATCH($A1008,emprunts!$A:$A,0))</f>
        <v>18</v>
      </c>
      <c r="F1008" s="18" t="str">
        <f>INDEX(emprunts!P:P,MATCH($A1008,emprunts!$A:$A,0))</f>
        <v>Change</v>
      </c>
      <c r="G1008" s="126" t="str">
        <f>IF(LEFT(A1008,3)="vx_","vx",INDEX(Categorie,MATCH($A1008,emprunts!$A$2:$A$149,0)))</f>
        <v>Struct</v>
      </c>
      <c r="H1008">
        <v>2015</v>
      </c>
      <c r="I1008">
        <f t="shared" si="169"/>
        <v>1</v>
      </c>
      <c r="N1008"/>
      <c r="O1008" s="58"/>
      <c r="P1008" s="58"/>
      <c r="Q1008" s="58"/>
      <c r="R1008" s="58"/>
      <c r="S1008" s="58"/>
      <c r="T1008" s="58"/>
      <c r="U1008" s="58"/>
      <c r="V1008" s="14" t="str">
        <f t="shared" si="167"/>
        <v/>
      </c>
      <c r="W1008" s="77"/>
      <c r="X1008" s="85">
        <f t="shared" si="170"/>
        <v>0</v>
      </c>
      <c r="Y1008" s="21" t="str">
        <f t="shared" si="168"/>
        <v/>
      </c>
      <c r="AA1008" s="55">
        <f t="shared" si="165"/>
        <v>0</v>
      </c>
      <c r="AB1008" s="55">
        <f t="shared" si="166"/>
        <v>0</v>
      </c>
      <c r="AC1008" s="55">
        <f t="shared" si="171"/>
        <v>0</v>
      </c>
    </row>
    <row r="1009" spans="1:29">
      <c r="A1009" t="s">
        <v>269</v>
      </c>
      <c r="B1009" s="16" t="str">
        <f>INDEX(emprunts!C:C,MATCH($A1009,emprunts!A:A,0))</f>
        <v>Dexia CL</v>
      </c>
      <c r="C1009" s="18">
        <f>INDEX(emprunts!M:M,MATCH($A1009,emprunts!$A:$A,0))</f>
        <v>40087</v>
      </c>
      <c r="D1009" s="18">
        <f>IF(INDEX(emprunts!O:O,MATCH($A1009,emprunts!$A:$A,0))="",INDEX(emprunts!N:N,MATCH($A1009,emprunts!$A:$A,0)),MIN(INDEX(emprunts!N:N,MATCH($A1009,emprunts!$A:$A,0)),INDEX(emprunts!O:O,MATCH($A1009,emprunts!$A:$A,0))))</f>
        <v>40452</v>
      </c>
      <c r="E1009" s="52">
        <f>INDEX(emprunts!I:I,MATCH($A1009,emprunts!$A:$A,0))</f>
        <v>16</v>
      </c>
      <c r="F1009" s="18" t="str">
        <f>INDEX(emprunts!P:P,MATCH($A1009,emprunts!$A:$A,0))</f>
        <v>Change</v>
      </c>
      <c r="G1009" s="126" t="str">
        <f>IF(LEFT(A1009,3)="vx_","vx",INDEX(Categorie,MATCH($A1009,emprunts!$A$2:$A$149,0)))</f>
        <v>Struct</v>
      </c>
      <c r="H1009">
        <v>2015</v>
      </c>
      <c r="I1009">
        <f t="shared" si="169"/>
        <v>1</v>
      </c>
      <c r="N1009"/>
      <c r="O1009" s="58"/>
      <c r="P1009" s="58"/>
      <c r="Q1009" s="58"/>
      <c r="R1009" s="58"/>
      <c r="S1009" s="58"/>
      <c r="T1009" s="58"/>
      <c r="U1009" s="58"/>
      <c r="V1009" s="14" t="str">
        <f t="shared" si="167"/>
        <v/>
      </c>
      <c r="W1009" s="77"/>
      <c r="X1009" s="85">
        <f t="shared" si="170"/>
        <v>0</v>
      </c>
      <c r="Y1009" s="21" t="str">
        <f t="shared" si="168"/>
        <v/>
      </c>
      <c r="AA1009" s="55">
        <f t="shared" si="165"/>
        <v>0</v>
      </c>
      <c r="AB1009" s="55">
        <f t="shared" si="166"/>
        <v>0</v>
      </c>
      <c r="AC1009" s="55">
        <f t="shared" si="171"/>
        <v>0</v>
      </c>
    </row>
    <row r="1010" spans="1:29">
      <c r="A1010" t="s">
        <v>270</v>
      </c>
      <c r="B1010" s="16" t="str">
        <f>INDEX(emprunts!C:C,MATCH($A1010,emprunts!A:A,0))</f>
        <v>Dexia CL</v>
      </c>
      <c r="C1010" s="18">
        <f>INDEX(emprunts!M:M,MATCH($A1010,emprunts!$A:$A,0))</f>
        <v>40118</v>
      </c>
      <c r="D1010" s="18">
        <f>IF(INDEX(emprunts!O:O,MATCH($A1010,emprunts!$A:$A,0))="",INDEX(emprunts!N:N,MATCH($A1010,emprunts!$A:$A,0)),MIN(INDEX(emprunts!N:N,MATCH($A1010,emprunts!$A:$A,0)),INDEX(emprunts!O:O,MATCH($A1010,emprunts!$A:$A,0))))</f>
        <v>43040</v>
      </c>
      <c r="E1010" s="52">
        <f>INDEX(emprunts!I:I,MATCH($A1010,emprunts!$A:$A,0))</f>
        <v>23</v>
      </c>
      <c r="F1010" s="18" t="str">
        <f>INDEX(emprunts!P:P,MATCH($A1010,emprunts!$A:$A,0))</f>
        <v>Pente</v>
      </c>
      <c r="G1010" s="126" t="str">
        <f>IF(LEFT(A1010,3)="vx_","vx",INDEX(Categorie,MATCH($A1010,emprunts!$A$2:$A$149,0)))</f>
        <v>Struct</v>
      </c>
      <c r="H1010">
        <v>2015</v>
      </c>
      <c r="I1010">
        <f t="shared" si="169"/>
        <v>1</v>
      </c>
      <c r="N1010"/>
      <c r="O1010" s="58">
        <v>10524048</v>
      </c>
      <c r="P1010" s="75">
        <v>3.78E-2</v>
      </c>
      <c r="Q1010" s="58">
        <v>417689.47</v>
      </c>
      <c r="R1010" s="58">
        <v>491130.78</v>
      </c>
      <c r="S1010" s="58"/>
      <c r="T1010" s="58">
        <v>65599.899999999994</v>
      </c>
      <c r="U1010" s="58">
        <f>SUM(Q1010:S1010)</f>
        <v>908820.25</v>
      </c>
      <c r="V1010" s="14">
        <f t="shared" si="167"/>
        <v>0</v>
      </c>
      <c r="W1010" s="77"/>
      <c r="X1010" s="85">
        <f t="shared" si="170"/>
        <v>0</v>
      </c>
      <c r="Y1010" s="21">
        <f t="shared" si="168"/>
        <v>3.8605580637221054E-2</v>
      </c>
      <c r="AA1010" s="55">
        <f t="shared" si="165"/>
        <v>414628.08999999997</v>
      </c>
      <c r="AB1010" s="55">
        <f t="shared" si="166"/>
        <v>-0.22000000067055225</v>
      </c>
      <c r="AC1010" s="55">
        <f t="shared" si="171"/>
        <v>10740107.599890411</v>
      </c>
    </row>
    <row r="1011" spans="1:29">
      <c r="A1011" t="s">
        <v>272</v>
      </c>
      <c r="B1011" s="16" t="str">
        <f>INDEX(emprunts!C:C,MATCH($A1011,emprunts!A:A,0))</f>
        <v>Dexia CL</v>
      </c>
      <c r="C1011" s="18">
        <f>INDEX(emprunts!M:M,MATCH($A1011,emprunts!$A:$A,0))</f>
        <v>40133</v>
      </c>
      <c r="D1011" s="18">
        <f>IF(INDEX(emprunts!O:O,MATCH($A1011,emprunts!$A:$A,0))="",INDEX(emprunts!N:N,MATCH($A1011,emprunts!$A:$A,0)),MIN(INDEX(emprunts!N:N,MATCH($A1011,emprunts!$A:$A,0)),INDEX(emprunts!O:O,MATCH($A1011,emprunts!$A:$A,0))))</f>
        <v>40878</v>
      </c>
      <c r="E1011" s="52">
        <f>INDEX(emprunts!I:I,MATCH($A1011,emprunts!$A:$A,0))</f>
        <v>25</v>
      </c>
      <c r="F1011" s="18" t="str">
        <f>INDEX(emprunts!P:P,MATCH($A1011,emprunts!$A:$A,0))</f>
        <v>Variable</v>
      </c>
      <c r="G1011" s="126" t="str">
        <f>IF(LEFT(A1011,3)="vx_","vx",INDEX(Categorie,MATCH($A1011,emprunts!$A$2:$A$149,0)))</f>
        <v>Non_st</v>
      </c>
      <c r="H1011">
        <v>2015</v>
      </c>
      <c r="I1011">
        <f t="shared" si="169"/>
        <v>1</v>
      </c>
      <c r="N1011"/>
      <c r="O1011" s="58"/>
      <c r="P1011" s="58"/>
      <c r="Q1011" s="58"/>
      <c r="R1011" s="58"/>
      <c r="S1011" s="58"/>
      <c r="T1011" s="58"/>
      <c r="U1011" s="58"/>
      <c r="V1011" s="14" t="str">
        <f t="shared" si="167"/>
        <v/>
      </c>
      <c r="W1011" s="77"/>
      <c r="X1011" s="85">
        <f t="shared" si="170"/>
        <v>0</v>
      </c>
      <c r="Y1011" s="21" t="str">
        <f t="shared" si="168"/>
        <v/>
      </c>
      <c r="AA1011" s="55">
        <f t="shared" si="165"/>
        <v>0</v>
      </c>
      <c r="AB1011" s="55">
        <f t="shared" si="166"/>
        <v>0</v>
      </c>
      <c r="AC1011" s="55">
        <f t="shared" si="171"/>
        <v>0</v>
      </c>
    </row>
    <row r="1012" spans="1:29" ht="30">
      <c r="A1012" t="s">
        <v>274</v>
      </c>
      <c r="B1012" s="16" t="str">
        <f>INDEX(emprunts!C:C,MATCH($A1012,emprunts!A:A,0))</f>
        <v>Caisse d'Épargne</v>
      </c>
      <c r="C1012" s="18">
        <f>INDEX(emprunts!M:M,MATCH($A1012,emprunts!$A:$A,0))</f>
        <v>40142</v>
      </c>
      <c r="D1012" s="18">
        <f>IF(INDEX(emprunts!O:O,MATCH($A1012,emprunts!$A:$A,0))="",INDEX(emprunts!N:N,MATCH($A1012,emprunts!$A:$A,0)),MIN(INDEX(emprunts!N:N,MATCH($A1012,emprunts!$A:$A,0)),INDEX(emprunts!O:O,MATCH($A1012,emprunts!$A:$A,0))))</f>
        <v>46351</v>
      </c>
      <c r="E1012" s="52">
        <f>INDEX(emprunts!I:I,MATCH($A1012,emprunts!$A:$A,0))</f>
        <v>17</v>
      </c>
      <c r="F1012" s="18" t="str">
        <f>INDEX(emprunts!P:P,MATCH($A1012,emprunts!$A:$A,0))</f>
        <v>Fixe</v>
      </c>
      <c r="G1012" s="126" t="str">
        <f>IF(LEFT(A1012,3)="vx_","vx",INDEX(Categorie,MATCH($A1012,emprunts!$A$2:$A$149,0)))</f>
        <v>Restr_sec</v>
      </c>
      <c r="H1012">
        <v>2015</v>
      </c>
      <c r="I1012">
        <f t="shared" si="169"/>
        <v>1</v>
      </c>
      <c r="N1012"/>
      <c r="O1012" s="58">
        <v>3165307</v>
      </c>
      <c r="P1012" s="75">
        <v>4.7500000000000001E-2</v>
      </c>
      <c r="Q1012" s="58">
        <v>161924.92000000001</v>
      </c>
      <c r="R1012" s="58">
        <v>232709.58</v>
      </c>
      <c r="S1012" s="58"/>
      <c r="T1012" s="58">
        <v>14876.94</v>
      </c>
      <c r="U1012" s="58">
        <f>SUM(Q1012:S1012)</f>
        <v>394634.5</v>
      </c>
      <c r="V1012" s="14">
        <f t="shared" si="167"/>
        <v>0</v>
      </c>
      <c r="W1012" s="77"/>
      <c r="X1012" s="85">
        <f t="shared" si="170"/>
        <v>0</v>
      </c>
      <c r="Y1012" s="21">
        <f t="shared" si="168"/>
        <v>4.9143706518610782E-2</v>
      </c>
      <c r="AA1012" s="55">
        <f t="shared" si="165"/>
        <v>160831.18000000002</v>
      </c>
      <c r="AB1012" s="55">
        <f t="shared" si="166"/>
        <v>0.58000000007450581</v>
      </c>
      <c r="AC1012" s="55">
        <f t="shared" si="171"/>
        <v>3272670.9357808218</v>
      </c>
    </row>
    <row r="1013" spans="1:29">
      <c r="A1013" t="s">
        <v>276</v>
      </c>
      <c r="B1013" s="16" t="str">
        <f>INDEX(emprunts!C:C,MATCH($A1013,emprunts!A:A,0))</f>
        <v>Arkea</v>
      </c>
      <c r="C1013" s="18">
        <f>INDEX(emprunts!M:M,MATCH($A1013,emprunts!$A:$A,0))</f>
        <v>40168</v>
      </c>
      <c r="D1013" s="18">
        <f>IF(INDEX(emprunts!O:O,MATCH($A1013,emprunts!$A:$A,0))="",INDEX(emprunts!N:N,MATCH($A1013,emprunts!$A:$A,0)),MIN(INDEX(emprunts!N:N,MATCH($A1013,emprunts!$A:$A,0)),INDEX(emprunts!O:O,MATCH($A1013,emprunts!$A:$A,0))))</f>
        <v>47786</v>
      </c>
      <c r="E1013" s="52">
        <f>INDEX(emprunts!I:I,MATCH($A1013,emprunts!$A:$A,0))</f>
        <v>20</v>
      </c>
      <c r="F1013" s="18" t="str">
        <f>INDEX(emprunts!P:P,MATCH($A1013,emprunts!$A:$A,0))</f>
        <v>Variable</v>
      </c>
      <c r="G1013" s="126" t="str">
        <f>IF(LEFT(A1013,3)="vx_","vx",INDEX(Categorie,MATCH($A1013,emprunts!$A$2:$A$149,0)))</f>
        <v>Non_st</v>
      </c>
      <c r="H1013">
        <v>2015</v>
      </c>
      <c r="I1013">
        <f t="shared" si="169"/>
        <v>1</v>
      </c>
      <c r="N1013"/>
      <c r="O1013" s="58">
        <v>7763256</v>
      </c>
      <c r="P1013" s="75">
        <v>4.4000000000000003E-3</v>
      </c>
      <c r="Q1013" s="58">
        <v>37461.089999999997</v>
      </c>
      <c r="R1013" s="58">
        <v>460327.88</v>
      </c>
      <c r="S1013" s="58"/>
      <c r="T1013" s="58">
        <v>4839.96</v>
      </c>
      <c r="U1013" s="58">
        <f>SUM(Q1013:S1013)</f>
        <v>497788.97</v>
      </c>
      <c r="V1013" s="14">
        <f t="shared" si="167"/>
        <v>0</v>
      </c>
      <c r="W1013" s="77"/>
      <c r="X1013" s="85">
        <f t="shared" si="170"/>
        <v>0</v>
      </c>
      <c r="Y1013" s="21">
        <f t="shared" si="168"/>
        <v>4.3862022927988274E-3</v>
      </c>
      <c r="AA1013" s="55">
        <f t="shared" si="165"/>
        <v>34964.699999999997</v>
      </c>
      <c r="AB1013" s="55">
        <f t="shared" si="166"/>
        <v>-0.12000000011175871</v>
      </c>
      <c r="AC1013" s="55">
        <f t="shared" si="171"/>
        <v>7971520.1593424659</v>
      </c>
    </row>
    <row r="1014" spans="1:29">
      <c r="A1014" t="s">
        <v>284</v>
      </c>
      <c r="B1014" s="16" t="str">
        <f>INDEX(emprunts!C:C,MATCH($A1014,emprunts!A:A,0))</f>
        <v>Société Générale</v>
      </c>
      <c r="C1014" s="18">
        <f>INDEX(emprunts!M:M,MATCH($A1014,emprunts!$A:$A,0))</f>
        <v>40452</v>
      </c>
      <c r="D1014" s="18">
        <f>IF(INDEX(emprunts!O:O,MATCH($A1014,emprunts!$A:$A,0))="",INDEX(emprunts!N:N,MATCH($A1014,emprunts!$A:$A,0)),MIN(INDEX(emprunts!N:N,MATCH($A1014,emprunts!$A:$A,0)),INDEX(emprunts!O:O,MATCH($A1014,emprunts!$A:$A,0))))</f>
        <v>41640</v>
      </c>
      <c r="E1014" s="52">
        <f>INDEX(emprunts!I:I,MATCH($A1014,emprunts!$A:$A,0))</f>
        <v>25</v>
      </c>
      <c r="F1014" s="18" t="str">
        <f>INDEX(emprunts!P:P,MATCH($A1014,emprunts!$A:$A,0))</f>
        <v>Barrière avec multiplicateur</v>
      </c>
      <c r="G1014" s="126" t="str">
        <f>IF(LEFT(A1014,3)="vx_","vx",INDEX(Categorie,MATCH($A1014,emprunts!$A$2:$A$149,0)))</f>
        <v>Struct</v>
      </c>
      <c r="H1014">
        <v>2015</v>
      </c>
      <c r="I1014">
        <f t="shared" si="169"/>
        <v>1</v>
      </c>
      <c r="N1014"/>
      <c r="O1014" s="58"/>
      <c r="P1014" s="58"/>
      <c r="Q1014" s="58"/>
      <c r="R1014" s="58"/>
      <c r="S1014" s="58"/>
      <c r="T1014" s="58"/>
      <c r="U1014" s="58"/>
      <c r="V1014" s="14" t="str">
        <f t="shared" si="167"/>
        <v/>
      </c>
      <c r="W1014" s="77"/>
      <c r="X1014" s="85">
        <f t="shared" si="170"/>
        <v>0</v>
      </c>
      <c r="Y1014" s="21" t="str">
        <f t="shared" si="168"/>
        <v/>
      </c>
      <c r="AA1014" s="55">
        <f t="shared" si="165"/>
        <v>0</v>
      </c>
      <c r="AB1014" s="55">
        <f t="shared" si="166"/>
        <v>0</v>
      </c>
      <c r="AC1014" s="55">
        <f t="shared" si="171"/>
        <v>0</v>
      </c>
    </row>
    <row r="1015" spans="1:29">
      <c r="A1015" t="s">
        <v>286</v>
      </c>
      <c r="B1015" s="16" t="str">
        <f>INDEX(emprunts!C:C,MATCH($A1015,emprunts!A:A,0))</f>
        <v>Dexia CL</v>
      </c>
      <c r="C1015" s="18">
        <f>INDEX(emprunts!M:M,MATCH($A1015,emprunts!$A:$A,0))</f>
        <v>40179</v>
      </c>
      <c r="D1015" s="18">
        <f>IF(INDEX(emprunts!O:O,MATCH($A1015,emprunts!$A:$A,0))="",INDEX(emprunts!N:N,MATCH($A1015,emprunts!$A:$A,0)),MIN(INDEX(emprunts!N:N,MATCH($A1015,emprunts!$A:$A,0)),INDEX(emprunts!O:O,MATCH($A1015,emprunts!$A:$A,0))))</f>
        <v>40848</v>
      </c>
      <c r="E1015" s="52">
        <f>INDEX(emprunts!I:I,MATCH($A1015,emprunts!$A:$A,0))</f>
        <v>23</v>
      </c>
      <c r="F1015" s="18" t="str">
        <f>INDEX(emprunts!P:P,MATCH($A1015,emprunts!$A:$A,0))</f>
        <v>Barrière avec multiplicateur</v>
      </c>
      <c r="G1015" s="126" t="str">
        <f>IF(LEFT(A1015,3)="vx_","vx",INDEX(Categorie,MATCH($A1015,emprunts!$A$2:$A$149,0)))</f>
        <v>Struct</v>
      </c>
      <c r="H1015">
        <v>2015</v>
      </c>
      <c r="I1015">
        <f t="shared" si="169"/>
        <v>1</v>
      </c>
      <c r="N1015"/>
      <c r="O1015" s="58"/>
      <c r="P1015" s="58"/>
      <c r="Q1015" s="58"/>
      <c r="R1015" s="58"/>
      <c r="S1015" s="58"/>
      <c r="T1015" s="58"/>
      <c r="U1015" s="58"/>
      <c r="V1015" s="14" t="str">
        <f t="shared" si="167"/>
        <v/>
      </c>
      <c r="W1015" s="77"/>
      <c r="X1015" s="85">
        <f t="shared" si="170"/>
        <v>0</v>
      </c>
      <c r="Y1015" s="21" t="str">
        <f t="shared" si="168"/>
        <v/>
      </c>
      <c r="AA1015" s="55">
        <f t="shared" si="165"/>
        <v>0</v>
      </c>
      <c r="AB1015" s="55">
        <f t="shared" si="166"/>
        <v>0</v>
      </c>
      <c r="AC1015" s="55">
        <f t="shared" si="171"/>
        <v>0</v>
      </c>
    </row>
    <row r="1016" spans="1:29">
      <c r="A1016" t="s">
        <v>288</v>
      </c>
      <c r="B1016" s="16" t="str">
        <f>INDEX(emprunts!C:C,MATCH($A1016,emprunts!A:A,0))</f>
        <v>Société Générale</v>
      </c>
      <c r="C1016" s="18">
        <f>INDEX(emprunts!M:M,MATCH($A1016,emprunts!$A:$A,0))</f>
        <v>40452</v>
      </c>
      <c r="D1016" s="18">
        <f>IF(INDEX(emprunts!O:O,MATCH($A1016,emprunts!$A:$A,0))="",INDEX(emprunts!N:N,MATCH($A1016,emprunts!$A:$A,0)),MIN(INDEX(emprunts!N:N,MATCH($A1016,emprunts!$A:$A,0)),INDEX(emprunts!O:O,MATCH($A1016,emprunts!$A:$A,0))))</f>
        <v>41730</v>
      </c>
      <c r="E1016" s="52">
        <f>INDEX(emprunts!I:I,MATCH($A1016,emprunts!$A:$A,0))</f>
        <v>25</v>
      </c>
      <c r="F1016" s="18" t="str">
        <f>INDEX(emprunts!P:P,MATCH($A1016,emprunts!$A:$A,0))</f>
        <v>Barrière avec multiplicateur</v>
      </c>
      <c r="G1016" s="126" t="str">
        <f>IF(LEFT(A1016,3)="vx_","vx",INDEX(Categorie,MATCH($A1016,emprunts!$A$2:$A$149,0)))</f>
        <v>Struct</v>
      </c>
      <c r="H1016">
        <v>2015</v>
      </c>
      <c r="I1016">
        <f t="shared" si="169"/>
        <v>1</v>
      </c>
      <c r="N1016"/>
      <c r="O1016" s="58"/>
      <c r="P1016" s="58"/>
      <c r="Q1016" s="58"/>
      <c r="R1016" s="58"/>
      <c r="S1016" s="58"/>
      <c r="T1016" s="58"/>
      <c r="U1016" s="58"/>
      <c r="V1016" s="14" t="str">
        <f t="shared" si="167"/>
        <v/>
      </c>
      <c r="W1016" s="77"/>
      <c r="X1016" s="85">
        <f t="shared" si="170"/>
        <v>0</v>
      </c>
      <c r="Y1016" s="21" t="str">
        <f t="shared" si="168"/>
        <v/>
      </c>
      <c r="AA1016" s="55">
        <f t="shared" si="165"/>
        <v>0</v>
      </c>
      <c r="AB1016" s="55">
        <f t="shared" si="166"/>
        <v>0</v>
      </c>
      <c r="AC1016" s="55">
        <f t="shared" si="171"/>
        <v>0</v>
      </c>
    </row>
    <row r="1017" spans="1:29">
      <c r="A1017" t="s">
        <v>289</v>
      </c>
      <c r="B1017" s="16" t="str">
        <f>INDEX(emprunts!C:C,MATCH($A1017,emprunts!A:A,0))</f>
        <v>Dexia CL</v>
      </c>
      <c r="C1017" s="18">
        <f>INDEX(emprunts!M:M,MATCH($A1017,emprunts!$A:$A,0))</f>
        <v>40299</v>
      </c>
      <c r="D1017" s="18">
        <f>IF(INDEX(emprunts!O:O,MATCH($A1017,emprunts!$A:$A,0))="",INDEX(emprunts!N:N,MATCH($A1017,emprunts!$A:$A,0)),MIN(INDEX(emprunts!N:N,MATCH($A1017,emprunts!$A:$A,0)),INDEX(emprunts!O:O,MATCH($A1017,emprunts!$A:$A,0))))</f>
        <v>40737</v>
      </c>
      <c r="E1017" s="52">
        <f>INDEX(emprunts!I:I,MATCH($A1017,emprunts!$A:$A,0))</f>
        <v>19</v>
      </c>
      <c r="F1017" s="18" t="str">
        <f>INDEX(emprunts!P:P,MATCH($A1017,emprunts!$A:$A,0))</f>
        <v>Barrière avec multiplicateur</v>
      </c>
      <c r="G1017" s="126" t="str">
        <f>IF(LEFT(A1017,3)="vx_","vx",INDEX(Categorie,MATCH($A1017,emprunts!$A$2:$A$149,0)))</f>
        <v>Struct</v>
      </c>
      <c r="H1017">
        <v>2015</v>
      </c>
      <c r="I1017">
        <f t="shared" si="169"/>
        <v>1</v>
      </c>
      <c r="N1017"/>
      <c r="O1017" s="58"/>
      <c r="P1017" s="58"/>
      <c r="Q1017" s="58"/>
      <c r="R1017" s="58"/>
      <c r="S1017" s="58"/>
      <c r="T1017" s="58"/>
      <c r="U1017" s="58"/>
      <c r="V1017" s="14" t="str">
        <f t="shared" si="167"/>
        <v/>
      </c>
      <c r="W1017" s="77"/>
      <c r="X1017" s="85">
        <f t="shared" si="170"/>
        <v>0</v>
      </c>
      <c r="Y1017" s="21" t="str">
        <f t="shared" si="168"/>
        <v/>
      </c>
      <c r="AA1017" s="55">
        <f t="shared" si="165"/>
        <v>0</v>
      </c>
      <c r="AB1017" s="55">
        <f t="shared" si="166"/>
        <v>0</v>
      </c>
      <c r="AC1017" s="55">
        <f t="shared" si="171"/>
        <v>0</v>
      </c>
    </row>
    <row r="1018" spans="1:29">
      <c r="A1018" t="s">
        <v>300</v>
      </c>
      <c r="B1018" s="16" t="str">
        <f>INDEX(emprunts!C:C,MATCH($A1018,emprunts!A:A,0))</f>
        <v>Dexia CL</v>
      </c>
      <c r="C1018" s="18">
        <f>INDEX(emprunts!M:M,MATCH($A1018,emprunts!$A:$A,0))</f>
        <v>40452</v>
      </c>
      <c r="D1018" s="18">
        <f>IF(INDEX(emprunts!O:O,MATCH($A1018,emprunts!$A:$A,0))="",INDEX(emprunts!N:N,MATCH($A1018,emprunts!$A:$A,0)),MIN(INDEX(emprunts!N:N,MATCH($A1018,emprunts!$A:$A,0)),INDEX(emprunts!O:O,MATCH($A1018,emprunts!$A:$A,0))))</f>
        <v>40664</v>
      </c>
      <c r="E1018" s="52">
        <f>INDEX(emprunts!I:I,MATCH($A1018,emprunts!$A:$A,0))</f>
        <v>12</v>
      </c>
      <c r="F1018" s="18" t="str">
        <f>INDEX(emprunts!P:P,MATCH($A1018,emprunts!$A:$A,0))</f>
        <v>Change</v>
      </c>
      <c r="G1018" s="126" t="str">
        <f>IF(LEFT(A1018,3)="vx_","vx",INDEX(Categorie,MATCH($A1018,emprunts!$A$2:$A$149,0)))</f>
        <v>Struct</v>
      </c>
      <c r="H1018">
        <v>2015</v>
      </c>
      <c r="I1018">
        <f t="shared" si="169"/>
        <v>1</v>
      </c>
      <c r="N1018"/>
      <c r="O1018" s="58"/>
      <c r="P1018" s="58"/>
      <c r="Q1018" s="58"/>
      <c r="R1018" s="58"/>
      <c r="S1018" s="58"/>
      <c r="T1018" s="58"/>
      <c r="U1018" s="58"/>
      <c r="V1018" s="14" t="str">
        <f t="shared" si="167"/>
        <v/>
      </c>
      <c r="W1018" s="77"/>
      <c r="X1018" s="85">
        <f t="shared" si="170"/>
        <v>0</v>
      </c>
      <c r="Y1018" s="21" t="str">
        <f t="shared" si="168"/>
        <v/>
      </c>
      <c r="AA1018" s="55">
        <f t="shared" si="165"/>
        <v>0</v>
      </c>
      <c r="AB1018" s="55">
        <f t="shared" si="166"/>
        <v>0</v>
      </c>
      <c r="AC1018" s="55">
        <f t="shared" si="171"/>
        <v>0</v>
      </c>
    </row>
    <row r="1019" spans="1:29">
      <c r="A1019" t="s">
        <v>302</v>
      </c>
      <c r="B1019" s="16" t="str">
        <f>INDEX(emprunts!C:C,MATCH($A1019,emprunts!A:A,0))</f>
        <v>Dexia CL</v>
      </c>
      <c r="C1019" s="18">
        <f>INDEX(emprunts!M:M,MATCH($A1019,emprunts!$A:$A,0))</f>
        <v>40384</v>
      </c>
      <c r="D1019" s="18">
        <f>IF(INDEX(emprunts!O:O,MATCH($A1019,emprunts!$A:$A,0))="",INDEX(emprunts!N:N,MATCH($A1019,emprunts!$A:$A,0)),MIN(INDEX(emprunts!N:N,MATCH($A1019,emprunts!$A:$A,0)),INDEX(emprunts!O:O,MATCH($A1019,emprunts!$A:$A,0))))</f>
        <v>45901</v>
      </c>
      <c r="E1019" s="52">
        <f>INDEX(emprunts!I:I,MATCH($A1019,emprunts!$A:$A,0))</f>
        <v>15</v>
      </c>
      <c r="F1019" s="18" t="str">
        <f>INDEX(emprunts!P:P,MATCH($A1019,emprunts!$A:$A,0))</f>
        <v>Fixe</v>
      </c>
      <c r="G1019" s="126" t="str">
        <f>IF(LEFT(A1019,3)="vx_","vx",INDEX(Categorie,MATCH($A1019,emprunts!$A$2:$A$149,0)))</f>
        <v>Non_st</v>
      </c>
      <c r="H1019">
        <v>2015</v>
      </c>
      <c r="I1019">
        <f t="shared" si="169"/>
        <v>1</v>
      </c>
      <c r="N1019"/>
      <c r="O1019" s="58">
        <v>514324</v>
      </c>
      <c r="P1019" s="75">
        <v>2.1299999999999999E-2</v>
      </c>
      <c r="Q1019" s="58">
        <v>11636.15</v>
      </c>
      <c r="R1019" s="58">
        <v>46949.93</v>
      </c>
      <c r="S1019" s="58"/>
      <c r="T1019" s="58">
        <v>907.13</v>
      </c>
      <c r="U1019" s="58">
        <f>SUM(Q1019:S1019)</f>
        <v>58586.080000000002</v>
      </c>
      <c r="V1019" s="14">
        <f t="shared" si="167"/>
        <v>0</v>
      </c>
      <c r="W1019" s="77"/>
      <c r="X1019" s="85">
        <f t="shared" si="170"/>
        <v>0</v>
      </c>
      <c r="Y1019" s="21">
        <f t="shared" si="168"/>
        <v>2.152114540658278E-2</v>
      </c>
      <c r="AA1019" s="55">
        <f t="shared" ref="AA1019:AA1082" si="172">T1019+Q1019+S1019-SUMPRODUCT(($A$123:$A$1367=$A1019)*($H$123:$H$1367=$H1019-1),$T$123:$T$1367)</f>
        <v>11542.339999999998</v>
      </c>
      <c r="AB1019" s="55">
        <f t="shared" ref="AB1019:AB1082" si="173">IF(YEAR(C1019)=H1019,"",O1019+R1019+X1019-W1019-SUMPRODUCT(($A$123:$A$1367=$A1019)*($H$123:$H$1367=$H1019-1),$O$123:$O$1367))</f>
        <v>0.93000000005122274</v>
      </c>
      <c r="AC1019" s="55">
        <f t="shared" si="171"/>
        <v>536325.54317808221</v>
      </c>
    </row>
    <row r="1020" spans="1:29" ht="30">
      <c r="A1020" t="s">
        <v>304</v>
      </c>
      <c r="B1020" s="16" t="str">
        <f>INDEX(emprunts!C:C,MATCH($A1020,emprunts!A:A,0))</f>
        <v>Société Générale</v>
      </c>
      <c r="C1020" s="18">
        <f>INDEX(emprunts!M:M,MATCH($A1020,emprunts!$A:$A,0))</f>
        <v>40422</v>
      </c>
      <c r="D1020" s="18">
        <f>IF(INDEX(emprunts!O:O,MATCH($A1020,emprunts!$A:$A,0))="",INDEX(emprunts!N:N,MATCH($A1020,emprunts!$A:$A,0)),MIN(INDEX(emprunts!N:N,MATCH($A1020,emprunts!$A:$A,0)),INDEX(emprunts!O:O,MATCH($A1020,emprunts!$A:$A,0))))</f>
        <v>47818</v>
      </c>
      <c r="E1020" s="52">
        <f>INDEX(emprunts!I:I,MATCH($A1020,emprunts!$A:$A,0))</f>
        <v>20</v>
      </c>
      <c r="F1020" s="18" t="str">
        <f>INDEX(emprunts!P:P,MATCH($A1020,emprunts!$A:$A,0))</f>
        <v>Fixe</v>
      </c>
      <c r="G1020" s="126" t="str">
        <f>IF(LEFT(A1020,3)="vx_","vx",INDEX(Categorie,MATCH($A1020,emprunts!$A$2:$A$149,0)))</f>
        <v>Restr_sec</v>
      </c>
      <c r="H1020">
        <v>2015</v>
      </c>
      <c r="I1020">
        <f t="shared" si="169"/>
        <v>1</v>
      </c>
      <c r="N1020"/>
      <c r="O1020" s="58">
        <v>1491159</v>
      </c>
      <c r="P1020" s="75">
        <v>4.3799999999999999E-2</v>
      </c>
      <c r="Q1020" s="58">
        <v>67632.89</v>
      </c>
      <c r="R1020" s="58">
        <v>65813.09</v>
      </c>
      <c r="S1020" s="58"/>
      <c r="T1020" s="58">
        <v>5380.6</v>
      </c>
      <c r="U1020" s="58">
        <f>SUM(Q1020:S1020)</f>
        <v>133445.97999999998</v>
      </c>
      <c r="V1020" s="14">
        <f t="shared" si="167"/>
        <v>0</v>
      </c>
      <c r="W1020" s="77"/>
      <c r="X1020" s="85">
        <f t="shared" si="170"/>
        <v>0</v>
      </c>
      <c r="Y1020" s="21">
        <f t="shared" si="168"/>
        <v>4.4342300417760099E-2</v>
      </c>
      <c r="AA1020" s="55">
        <f t="shared" si="172"/>
        <v>67395.420000000013</v>
      </c>
      <c r="AB1020" s="55">
        <f t="shared" si="173"/>
        <v>9.0000000083819032E-2</v>
      </c>
      <c r="AC1020" s="55">
        <f t="shared" si="171"/>
        <v>1519890.022958904</v>
      </c>
    </row>
    <row r="1021" spans="1:29">
      <c r="A1021" t="s">
        <v>306</v>
      </c>
      <c r="B1021" s="16" t="str">
        <f>INDEX(emprunts!C:C,MATCH($A1021,emprunts!A:A,0))</f>
        <v>Dexia CL</v>
      </c>
      <c r="C1021" s="18">
        <f>INDEX(emprunts!M:M,MATCH($A1021,emprunts!$A:$A,0))</f>
        <v>40452</v>
      </c>
      <c r="D1021" s="18">
        <f>IF(INDEX(emprunts!O:O,MATCH($A1021,emprunts!$A:$A,0))="",INDEX(emprunts!N:N,MATCH($A1021,emprunts!$A:$A,0)),MIN(INDEX(emprunts!N:N,MATCH($A1021,emprunts!$A:$A,0)),INDEX(emprunts!O:O,MATCH($A1021,emprunts!$A:$A,0))))</f>
        <v>41030</v>
      </c>
      <c r="E1021" s="52">
        <f>INDEX(emprunts!I:I,MATCH($A1021,emprunts!$A:$A,0))</f>
        <v>15</v>
      </c>
      <c r="F1021" s="18" t="str">
        <f>INDEX(emprunts!P:P,MATCH($A1021,emprunts!$A:$A,0))</f>
        <v>Change</v>
      </c>
      <c r="G1021" s="126" t="str">
        <f>IF(LEFT(A1021,3)="vx_","vx",INDEX(Categorie,MATCH($A1021,emprunts!$A$2:$A$149,0)))</f>
        <v>Struct</v>
      </c>
      <c r="H1021">
        <v>2015</v>
      </c>
      <c r="I1021">
        <f t="shared" si="169"/>
        <v>1</v>
      </c>
      <c r="N1021"/>
      <c r="O1021" s="58"/>
      <c r="P1021" s="58"/>
      <c r="Q1021" s="58"/>
      <c r="R1021" s="58"/>
      <c r="S1021" s="58"/>
      <c r="T1021" s="58"/>
      <c r="U1021" s="58"/>
      <c r="V1021" s="14" t="str">
        <f t="shared" ref="V1021:V1082" si="174">IF(U1021="","",U1021-SUM(Q1021:S1021))</f>
        <v/>
      </c>
      <c r="W1021" s="77"/>
      <c r="X1021" s="85">
        <f t="shared" si="170"/>
        <v>0</v>
      </c>
      <c r="Y1021" s="21" t="str">
        <f t="shared" si="168"/>
        <v/>
      </c>
      <c r="AA1021" s="55">
        <f t="shared" si="172"/>
        <v>0</v>
      </c>
      <c r="AB1021" s="55">
        <f t="shared" si="173"/>
        <v>0</v>
      </c>
      <c r="AC1021" s="55">
        <f t="shared" si="171"/>
        <v>0</v>
      </c>
    </row>
    <row r="1022" spans="1:29">
      <c r="A1022" t="s">
        <v>311</v>
      </c>
      <c r="B1022" s="16" t="str">
        <f>INDEX(emprunts!C:C,MATCH($A1022,emprunts!A:A,0))</f>
        <v>Dexia CL</v>
      </c>
      <c r="C1022" s="18">
        <f>INDEX(emprunts!M:M,MATCH($A1022,emprunts!$A:$A,0))</f>
        <v>40513</v>
      </c>
      <c r="D1022" s="18">
        <f>IF(INDEX(emprunts!O:O,MATCH($A1022,emprunts!$A:$A,0))="",INDEX(emprunts!N:N,MATCH($A1022,emprunts!$A:$A,0)),MIN(INDEX(emprunts!N:N,MATCH($A1022,emprunts!$A:$A,0)),INDEX(emprunts!O:O,MATCH($A1022,emprunts!$A:$A,0))))</f>
        <v>40878</v>
      </c>
      <c r="E1022" s="52">
        <f>INDEX(emprunts!I:I,MATCH($A1022,emprunts!$A:$A,0))</f>
        <v>17</v>
      </c>
      <c r="F1022" s="18" t="str">
        <f>INDEX(emprunts!P:P,MATCH($A1022,emprunts!$A:$A,0))</f>
        <v>Change</v>
      </c>
      <c r="G1022" s="126" t="str">
        <f>IF(LEFT(A1022,3)="vx_","vx",INDEX(Categorie,MATCH($A1022,emprunts!$A$2:$A$149,0)))</f>
        <v>Struct</v>
      </c>
      <c r="H1022">
        <v>2015</v>
      </c>
      <c r="I1022">
        <f t="shared" si="169"/>
        <v>1</v>
      </c>
      <c r="N1022"/>
      <c r="O1022" s="58"/>
      <c r="P1022" s="58"/>
      <c r="Q1022" s="58"/>
      <c r="R1022" s="58"/>
      <c r="S1022" s="58"/>
      <c r="T1022" s="58"/>
      <c r="U1022" s="58"/>
      <c r="V1022" s="14" t="str">
        <f t="shared" si="174"/>
        <v/>
      </c>
      <c r="W1022" s="77"/>
      <c r="X1022" s="85">
        <f t="shared" si="170"/>
        <v>0</v>
      </c>
      <c r="Y1022" s="21" t="str">
        <f t="shared" si="168"/>
        <v/>
      </c>
      <c r="AA1022" s="55">
        <f t="shared" si="172"/>
        <v>0</v>
      </c>
      <c r="AB1022" s="55">
        <f t="shared" si="173"/>
        <v>0</v>
      </c>
      <c r="AC1022" s="55">
        <f t="shared" si="171"/>
        <v>0</v>
      </c>
    </row>
    <row r="1023" spans="1:29" ht="30">
      <c r="A1023" t="s">
        <v>313</v>
      </c>
      <c r="B1023" s="16" t="str">
        <f>INDEX(emprunts!C:C,MATCH($A1023,emprunts!A:A,0))</f>
        <v>Société Générale</v>
      </c>
      <c r="C1023" s="18">
        <f>INDEX(emprunts!M:M,MATCH($A1023,emprunts!$A:$A,0))</f>
        <v>40513</v>
      </c>
      <c r="D1023" s="18">
        <f>IF(INDEX(emprunts!O:O,MATCH($A1023,emprunts!$A:$A,0))="",INDEX(emprunts!N:N,MATCH($A1023,emprunts!$A:$A,0)),MIN(INDEX(emprunts!N:N,MATCH($A1023,emprunts!$A:$A,0)),INDEX(emprunts!O:O,MATCH($A1023,emprunts!$A:$A,0))))</f>
        <v>47818</v>
      </c>
      <c r="E1023" s="52">
        <f>INDEX(emprunts!I:I,MATCH($A1023,emprunts!$A:$A,0))</f>
        <v>20</v>
      </c>
      <c r="F1023" s="18" t="str">
        <f>INDEX(emprunts!P:P,MATCH($A1023,emprunts!$A:$A,0))</f>
        <v>Fixe</v>
      </c>
      <c r="G1023" s="126" t="str">
        <f>IF(LEFT(A1023,3)="vx_","vx",INDEX(Categorie,MATCH($A1023,emprunts!$A$2:$A$149,0)))</f>
        <v>Restr_sec</v>
      </c>
      <c r="H1023">
        <v>2015</v>
      </c>
      <c r="I1023">
        <f t="shared" si="169"/>
        <v>1</v>
      </c>
      <c r="N1023"/>
      <c r="O1023" s="58">
        <v>2142352</v>
      </c>
      <c r="P1023" s="75">
        <v>4.3799999999999999E-2</v>
      </c>
      <c r="Q1023" s="58">
        <v>98203.25</v>
      </c>
      <c r="R1023" s="58">
        <v>94553.8</v>
      </c>
      <c r="S1023" s="58"/>
      <c r="T1023" s="58">
        <v>7730.32</v>
      </c>
      <c r="U1023" s="58">
        <f>SUM(Q1023:S1023)</f>
        <v>192757.05</v>
      </c>
      <c r="V1023" s="14">
        <f t="shared" si="174"/>
        <v>0</v>
      </c>
      <c r="W1023" s="77"/>
      <c r="X1023" s="85">
        <f t="shared" si="170"/>
        <v>0</v>
      </c>
      <c r="Y1023" s="21">
        <f t="shared" si="168"/>
        <v>4.4816234312882584E-2</v>
      </c>
      <c r="AA1023" s="55">
        <f t="shared" si="172"/>
        <v>97862.07</v>
      </c>
      <c r="AB1023" s="55">
        <f t="shared" si="173"/>
        <v>-0.20000000018626451</v>
      </c>
      <c r="AC1023" s="55">
        <f t="shared" si="171"/>
        <v>2183629.9167123288</v>
      </c>
    </row>
    <row r="1024" spans="1:29">
      <c r="A1024" t="s">
        <v>314</v>
      </c>
      <c r="B1024" s="16" t="str">
        <f>INDEX(emprunts!C:C,MATCH($A1024,emprunts!A:A,0))</f>
        <v>Société Générale</v>
      </c>
      <c r="C1024" s="18">
        <f>INDEX(emprunts!M:M,MATCH($A1024,emprunts!$A:$A,0))</f>
        <v>40530</v>
      </c>
      <c r="D1024" s="18">
        <f>IF(INDEX(emprunts!O:O,MATCH($A1024,emprunts!$A:$A,0))="",INDEX(emprunts!N:N,MATCH($A1024,emprunts!$A:$A,0)),MIN(INDEX(emprunts!N:N,MATCH($A1024,emprunts!$A:$A,0)),INDEX(emprunts!O:O,MATCH($A1024,emprunts!$A:$A,0))))</f>
        <v>46112</v>
      </c>
      <c r="E1024" s="52">
        <f>INDEX(emprunts!I:I,MATCH($A1024,emprunts!$A:$A,0))</f>
        <v>15</v>
      </c>
      <c r="F1024" s="18" t="str">
        <f>INDEX(emprunts!P:P,MATCH($A1024,emprunts!$A:$A,0))</f>
        <v>Variable</v>
      </c>
      <c r="G1024" s="126" t="str">
        <f>IF(LEFT(A1024,3)="vx_","vx",INDEX(Categorie,MATCH($A1024,emprunts!$A$2:$A$149,0)))</f>
        <v>Non_st</v>
      </c>
      <c r="H1024">
        <v>2015</v>
      </c>
      <c r="I1024">
        <f t="shared" si="169"/>
        <v>1</v>
      </c>
      <c r="N1024"/>
      <c r="O1024" s="58">
        <v>6083404</v>
      </c>
      <c r="P1024" s="75">
        <v>8.9999999999999993E-3</v>
      </c>
      <c r="Q1024" s="58">
        <v>57147.79</v>
      </c>
      <c r="R1024" s="58">
        <v>442390.14</v>
      </c>
      <c r="S1024" s="58"/>
      <c r="T1024" s="58">
        <v>0</v>
      </c>
      <c r="U1024" s="58">
        <f>SUM(Q1024:S1024)</f>
        <v>499537.93</v>
      </c>
      <c r="V1024" s="14">
        <f t="shared" si="174"/>
        <v>0</v>
      </c>
      <c r="W1024" s="77"/>
      <c r="X1024" s="85">
        <f t="shared" si="170"/>
        <v>0</v>
      </c>
      <c r="Y1024" s="21">
        <f t="shared" si="168"/>
        <v>9.0893629851512385E-3</v>
      </c>
      <c r="AA1024" s="55">
        <f t="shared" si="172"/>
        <v>57147.79</v>
      </c>
      <c r="AB1024" s="55">
        <f t="shared" si="173"/>
        <v>0.13999999966472387</v>
      </c>
      <c r="AC1024" s="55">
        <f t="shared" si="171"/>
        <v>6287326.1958356164</v>
      </c>
    </row>
    <row r="1025" spans="1:29">
      <c r="A1025" t="s">
        <v>317</v>
      </c>
      <c r="B1025" s="16" t="str">
        <f>INDEX(emprunts!C:C,MATCH($A1025,emprunts!A:A,0))</f>
        <v>Dexia CL</v>
      </c>
      <c r="C1025" s="18">
        <f>INDEX(emprunts!M:M,MATCH($A1025,emprunts!$A:$A,0))</f>
        <v>40634</v>
      </c>
      <c r="D1025" s="18">
        <f>IF(INDEX(emprunts!O:O,MATCH($A1025,emprunts!$A:$A,0))="",INDEX(emprunts!N:N,MATCH($A1025,emprunts!$A:$A,0)),MIN(INDEX(emprunts!N:N,MATCH($A1025,emprunts!$A:$A,0)),INDEX(emprunts!O:O,MATCH($A1025,emprunts!$A:$A,0))))</f>
        <v>41760</v>
      </c>
      <c r="E1025" s="52">
        <f>INDEX(emprunts!I:I,MATCH($A1025,emprunts!$A:$A,0))</f>
        <v>25</v>
      </c>
      <c r="F1025" s="18" t="str">
        <f>INDEX(emprunts!P:P,MATCH($A1025,emprunts!$A:$A,0))</f>
        <v>Barrière avec multiplicateur</v>
      </c>
      <c r="G1025" s="126" t="str">
        <f>IF(LEFT(A1025,3)="vx_","vx",INDEX(Categorie,MATCH($A1025,emprunts!$A$2:$A$149,0)))</f>
        <v>Struct</v>
      </c>
      <c r="H1025">
        <v>2015</v>
      </c>
      <c r="I1025">
        <f t="shared" si="169"/>
        <v>1</v>
      </c>
      <c r="N1025"/>
      <c r="O1025" s="58"/>
      <c r="P1025" s="58"/>
      <c r="Q1025" s="58"/>
      <c r="R1025" s="58"/>
      <c r="S1025" s="58"/>
      <c r="T1025" s="58"/>
      <c r="U1025" s="58"/>
      <c r="V1025" s="14" t="str">
        <f t="shared" si="174"/>
        <v/>
      </c>
      <c r="W1025" s="77"/>
      <c r="X1025" s="85">
        <f t="shared" si="170"/>
        <v>0</v>
      </c>
      <c r="Y1025" s="21" t="str">
        <f t="shared" ref="Y1025:Y1084" si="175">IF(AND(AA1025&gt;0,YEAR(C1025)&lt;=H1025),AA1025/AC1025,"")</f>
        <v/>
      </c>
      <c r="AA1025" s="55">
        <f t="shared" si="172"/>
        <v>0</v>
      </c>
      <c r="AB1025" s="55">
        <f t="shared" si="173"/>
        <v>0</v>
      </c>
      <c r="AC1025" s="55">
        <f t="shared" si="171"/>
        <v>0</v>
      </c>
    </row>
    <row r="1026" spans="1:29">
      <c r="A1026" s="1" t="s">
        <v>489</v>
      </c>
      <c r="B1026" s="16" t="str">
        <f>INDEX(emprunts!C:C,MATCH($A1026,emprunts!A:A,0))</f>
        <v>Dexia CL</v>
      </c>
      <c r="C1026" s="18">
        <f>INDEX(emprunts!M:M,MATCH($A1026,emprunts!$A:$A,0))</f>
        <v>40725</v>
      </c>
      <c r="D1026" s="18">
        <f>IF(INDEX(emprunts!O:O,MATCH($A1026,emprunts!$A:$A,0))="",INDEX(emprunts!N:N,MATCH($A1026,emprunts!$A:$A,0)),MIN(INDEX(emprunts!N:N,MATCH($A1026,emprunts!$A:$A,0)),INDEX(emprunts!O:O,MATCH($A1026,emprunts!$A:$A,0))))</f>
        <v>49796</v>
      </c>
      <c r="E1026" s="52">
        <f>INDEX(emprunts!I:I,MATCH($A1026,emprunts!$A:$A,0))</f>
        <v>25</v>
      </c>
      <c r="F1026" s="18" t="str">
        <f>INDEX(emprunts!P:P,MATCH($A1026,emprunts!$A:$A,0))</f>
        <v>Barrière avec multiplicateur</v>
      </c>
      <c r="G1026" s="126" t="str">
        <f>IF(LEFT(A1026,3)="vx_","vx",INDEX(Categorie,MATCH($A1026,emprunts!$A$2:$A$149,0)))</f>
        <v>Struct</v>
      </c>
      <c r="H1026">
        <v>2015</v>
      </c>
      <c r="I1026">
        <f t="shared" si="169"/>
        <v>1</v>
      </c>
      <c r="N1026"/>
      <c r="O1026" s="58">
        <v>13234497</v>
      </c>
      <c r="P1026" s="75">
        <v>4.0300000000000002E-2</v>
      </c>
      <c r="Q1026" s="58">
        <v>549665.64</v>
      </c>
      <c r="R1026" s="58">
        <v>352870.85</v>
      </c>
      <c r="S1026" s="58"/>
      <c r="T1026" s="58">
        <v>357904.91</v>
      </c>
      <c r="U1026" s="58">
        <f>SUM(Q1026:S1026)</f>
        <v>902536.49</v>
      </c>
      <c r="V1026" s="14">
        <f t="shared" si="174"/>
        <v>0</v>
      </c>
      <c r="W1026" s="77"/>
      <c r="X1026" s="85">
        <f t="shared" si="170"/>
        <v>0</v>
      </c>
      <c r="Y1026" s="21">
        <f t="shared" si="175"/>
        <v>4.0385460664833041E-2</v>
      </c>
      <c r="AA1026" s="55">
        <f t="shared" si="172"/>
        <v>540122.83000000007</v>
      </c>
      <c r="AB1026" s="55">
        <f t="shared" si="173"/>
        <v>-0.15000000037252903</v>
      </c>
      <c r="AC1026" s="55">
        <f t="shared" si="171"/>
        <v>13374190.144383563</v>
      </c>
    </row>
    <row r="1027" spans="1:29">
      <c r="A1027" s="1" t="s">
        <v>487</v>
      </c>
      <c r="B1027" s="16" t="str">
        <f>INDEX(emprunts!C:C,MATCH($A1027,emprunts!A:A,0))</f>
        <v>Dexia CL</v>
      </c>
      <c r="C1027" s="18">
        <f>INDEX(emprunts!M:M,MATCH($A1027,emprunts!$A:$A,0))</f>
        <v>40737</v>
      </c>
      <c r="D1027" s="18">
        <f>IF(INDEX(emprunts!O:O,MATCH($A1027,emprunts!$A:$A,0))="",INDEX(emprunts!N:N,MATCH($A1027,emprunts!$A:$A,0)),MIN(INDEX(emprunts!N:N,MATCH($A1027,emprunts!$A:$A,0)),INDEX(emprunts!O:O,MATCH($A1027,emprunts!$A:$A,0))))</f>
        <v>42644</v>
      </c>
      <c r="E1027" s="52">
        <f>INDEX(emprunts!I:I,MATCH($A1027,emprunts!$A:$A,0))</f>
        <v>15</v>
      </c>
      <c r="F1027" s="18" t="str">
        <f>INDEX(emprunts!P:P,MATCH($A1027,emprunts!$A:$A,0))</f>
        <v>Change</v>
      </c>
      <c r="G1027" s="126" t="str">
        <f>IF(LEFT(A1027,3)="vx_","vx",INDEX(Categorie,MATCH($A1027,emprunts!$A$2:$A$149,0)))</f>
        <v>Struct</v>
      </c>
      <c r="H1027">
        <v>2015</v>
      </c>
      <c r="I1027">
        <f t="shared" si="169"/>
        <v>1</v>
      </c>
      <c r="N1027" s="58"/>
      <c r="O1027" s="58">
        <v>11253910</v>
      </c>
      <c r="P1027" s="75">
        <v>3.9800000000000002E-2</v>
      </c>
      <c r="Q1027" s="58">
        <v>479699.78</v>
      </c>
      <c r="R1027" s="58">
        <v>754428.81</v>
      </c>
      <c r="S1027" s="58"/>
      <c r="T1027" s="58">
        <v>225397.06</v>
      </c>
      <c r="U1027" s="58">
        <f>SUM(Q1027:S1027)</f>
        <v>1234128.5900000001</v>
      </c>
      <c r="V1027" s="14">
        <f t="shared" si="174"/>
        <v>0</v>
      </c>
      <c r="W1027" s="77"/>
      <c r="X1027" s="85">
        <f t="shared" si="170"/>
        <v>0</v>
      </c>
      <c r="Y1027" s="21">
        <f t="shared" si="175"/>
        <v>4.0053408377830287E-2</v>
      </c>
      <c r="AA1027" s="55">
        <f t="shared" si="172"/>
        <v>464589.83000000007</v>
      </c>
      <c r="AB1027" s="55">
        <f t="shared" si="173"/>
        <v>-0.18999999947845936</v>
      </c>
      <c r="AC1027" s="55">
        <f t="shared" si="171"/>
        <v>11599258.310739726</v>
      </c>
    </row>
    <row r="1028" spans="1:29">
      <c r="A1028" t="s">
        <v>324</v>
      </c>
      <c r="B1028" s="16" t="str">
        <f>INDEX(emprunts!C:C,MATCH($A1028,emprunts!A:A,0))</f>
        <v>Caisse d'Épargne</v>
      </c>
      <c r="C1028" s="18">
        <f>INDEX(emprunts!M:M,MATCH($A1028,emprunts!$A:$A,0))</f>
        <v>40732</v>
      </c>
      <c r="D1028" s="18">
        <f>IF(INDEX(emprunts!O:O,MATCH($A1028,emprunts!$A:$A,0))="",INDEX(emprunts!N:N,MATCH($A1028,emprunts!$A:$A,0)),MIN(INDEX(emprunts!N:N,MATCH($A1028,emprunts!$A:$A,0)),INDEX(emprunts!O:O,MATCH($A1028,emprunts!$A:$A,0))))</f>
        <v>46536</v>
      </c>
      <c r="E1028" s="52">
        <f>INDEX(emprunts!I:I,MATCH($A1028,emprunts!$A:$A,0))</f>
        <v>15</v>
      </c>
      <c r="F1028" s="18" t="str">
        <f>INDEX(emprunts!P:P,MATCH($A1028,emprunts!$A:$A,0))</f>
        <v>Variable</v>
      </c>
      <c r="G1028" s="126" t="str">
        <f>IF(LEFT(A1028,3)="vx_","vx",INDEX(Categorie,MATCH($A1028,emprunts!$A$2:$A$149,0)))</f>
        <v>Non_st</v>
      </c>
      <c r="H1028">
        <v>2015</v>
      </c>
      <c r="I1028">
        <f t="shared" ref="I1028:I1086" si="176">1*(C1028&lt;DATE(H1028,12,31))</f>
        <v>1</v>
      </c>
      <c r="N1028"/>
      <c r="O1028" s="58">
        <v>4142170</v>
      </c>
      <c r="P1028" s="75">
        <v>1.1900000000000001E-2</v>
      </c>
      <c r="Q1028" s="58">
        <v>52005.599999999999</v>
      </c>
      <c r="R1028" s="58">
        <v>260498.97</v>
      </c>
      <c r="S1028" s="58"/>
      <c r="T1028" s="58">
        <v>4019.94</v>
      </c>
      <c r="U1028" s="58">
        <f>SUM(Q1028:S1028)</f>
        <v>312504.57</v>
      </c>
      <c r="V1028" s="14">
        <f t="shared" si="174"/>
        <v>0</v>
      </c>
      <c r="W1028" s="77"/>
      <c r="X1028" s="85">
        <f t="shared" ref="X1028:X1086" si="177">SUMPRODUCT((De=$A1028)*(année_refi=$H1028),Montant_transfere)</f>
        <v>0</v>
      </c>
      <c r="Y1028" s="21">
        <f t="shared" si="175"/>
        <v>1.1989750377207665E-2</v>
      </c>
      <c r="AA1028" s="55">
        <f t="shared" si="172"/>
        <v>51084.9</v>
      </c>
      <c r="AB1028" s="55">
        <f t="shared" si="173"/>
        <v>-3.0000000260770321E-2</v>
      </c>
      <c r="AC1028" s="55">
        <f t="shared" si="171"/>
        <v>4260714.2261369871</v>
      </c>
    </row>
    <row r="1029" spans="1:29">
      <c r="A1029" t="s">
        <v>328</v>
      </c>
      <c r="B1029" s="16" t="str">
        <f>INDEX(emprunts!C:C,MATCH($A1029,emprunts!A:A,0))</f>
        <v>Caisse d'Épargne</v>
      </c>
      <c r="C1029" s="18">
        <f>INDEX(emprunts!M:M,MATCH($A1029,emprunts!$A:$A,0))</f>
        <v>40732</v>
      </c>
      <c r="D1029" s="18">
        <f>IF(INDEX(emprunts!O:O,MATCH($A1029,emprunts!$A:$A,0))="",INDEX(emprunts!N:N,MATCH($A1029,emprunts!$A:$A,0)),MIN(INDEX(emprunts!N:N,MATCH($A1029,emprunts!$A:$A,0)),INDEX(emprunts!O:O,MATCH($A1029,emprunts!$A:$A,0))))</f>
        <v>46536</v>
      </c>
      <c r="E1029" s="52">
        <f>INDEX(emprunts!I:I,MATCH($A1029,emprunts!$A:$A,0))</f>
        <v>15</v>
      </c>
      <c r="F1029" s="18" t="str">
        <f>INDEX(emprunts!P:P,MATCH($A1029,emprunts!$A:$A,0))</f>
        <v>Variable</v>
      </c>
      <c r="G1029" s="126" t="str">
        <f>IF(LEFT(A1029,3)="vx_","vx",INDEX(Categorie,MATCH($A1029,emprunts!$A$2:$A$149,0)))</f>
        <v>Non_st</v>
      </c>
      <c r="H1029">
        <v>2015</v>
      </c>
      <c r="I1029">
        <f t="shared" si="176"/>
        <v>1</v>
      </c>
      <c r="N1029"/>
      <c r="O1029" s="58">
        <v>4142170</v>
      </c>
      <c r="P1029" s="75">
        <v>8.8999999999999999E-3</v>
      </c>
      <c r="Q1029" s="58">
        <v>39088.97</v>
      </c>
      <c r="R1029" s="58">
        <v>260498.97</v>
      </c>
      <c r="S1029" s="58"/>
      <c r="T1029" s="58">
        <v>2933.47</v>
      </c>
      <c r="U1029" s="58">
        <f>SUM(Q1029:S1029)</f>
        <v>299587.94</v>
      </c>
      <c r="V1029" s="14">
        <f t="shared" si="174"/>
        <v>0</v>
      </c>
      <c r="W1029" s="77"/>
      <c r="X1029" s="85">
        <f t="shared" si="177"/>
        <v>0</v>
      </c>
      <c r="Y1029" s="21">
        <f t="shared" si="175"/>
        <v>8.9749647524871457E-3</v>
      </c>
      <c r="AA1029" s="55">
        <f t="shared" si="172"/>
        <v>38239.760000000002</v>
      </c>
      <c r="AB1029" s="55">
        <f t="shared" si="173"/>
        <v>-3.0000000260770321E-2</v>
      </c>
      <c r="AC1029" s="55">
        <f t="shared" si="171"/>
        <v>4260714.2261369871</v>
      </c>
    </row>
    <row r="1030" spans="1:29">
      <c r="A1030" t="s">
        <v>331</v>
      </c>
      <c r="B1030" s="16" t="str">
        <f>INDEX(emprunts!C:C,MATCH($A1030,emprunts!A:A,0))</f>
        <v>Dexia CL</v>
      </c>
      <c r="C1030" s="18">
        <f>INDEX(emprunts!M:M,MATCH($A1030,emprunts!$A:$A,0))</f>
        <v>40848</v>
      </c>
      <c r="D1030" s="18">
        <f>IF(INDEX(emprunts!O:O,MATCH($A1030,emprunts!$A:$A,0))="",INDEX(emprunts!N:N,MATCH($A1030,emprunts!$A:$A,0)),MIN(INDEX(emprunts!N:N,MATCH($A1030,emprunts!$A:$A,0)),INDEX(emprunts!O:O,MATCH($A1030,emprunts!$A:$A,0))))</f>
        <v>43101</v>
      </c>
      <c r="E1030" s="52">
        <f>INDEX(emprunts!I:I,MATCH($A1030,emprunts!$A:$A,0))</f>
        <v>21.17</v>
      </c>
      <c r="F1030" s="18" t="str">
        <f>INDEX(emprunts!P:P,MATCH($A1030,emprunts!$A:$A,0))</f>
        <v>Barrière avec multiplicateur</v>
      </c>
      <c r="G1030" s="126" t="str">
        <f>IF(LEFT(A1030,3)="vx_","vx",INDEX(Categorie,MATCH($A1030,emprunts!$A$2:$A$149,0)))</f>
        <v>Struct</v>
      </c>
      <c r="H1030">
        <v>2015</v>
      </c>
      <c r="I1030">
        <f t="shared" si="176"/>
        <v>1</v>
      </c>
      <c r="N1030"/>
      <c r="O1030" s="58">
        <v>8109399</v>
      </c>
      <c r="P1030" s="75">
        <v>3.5400000000000001E-2</v>
      </c>
      <c r="Q1030" s="58">
        <v>299532</v>
      </c>
      <c r="R1030" s="58">
        <v>331424.19</v>
      </c>
      <c r="S1030" s="58"/>
      <c r="T1030" s="58">
        <v>286982.63</v>
      </c>
      <c r="U1030" s="58">
        <f>SUM(Q1030:S1030)</f>
        <v>630956.18999999994</v>
      </c>
      <c r="V1030" s="14">
        <f t="shared" si="174"/>
        <v>0</v>
      </c>
      <c r="W1030" s="77"/>
      <c r="X1030" s="85">
        <f t="shared" si="177"/>
        <v>0</v>
      </c>
      <c r="Y1030" s="21">
        <f t="shared" si="175"/>
        <v>3.4874932192578117E-2</v>
      </c>
      <c r="AA1030" s="55">
        <f t="shared" si="172"/>
        <v>287803.27</v>
      </c>
      <c r="AB1030" s="55">
        <f t="shared" si="173"/>
        <v>0.18999999947845936</v>
      </c>
      <c r="AC1030" s="55">
        <f t="shared" si="171"/>
        <v>8252439.5577534242</v>
      </c>
    </row>
    <row r="1031" spans="1:29">
      <c r="A1031" t="s">
        <v>333</v>
      </c>
      <c r="B1031" s="16" t="str">
        <f>INDEX(emprunts!C:C,MATCH($A1031,emprunts!A:A,0))</f>
        <v>Dexia CL</v>
      </c>
      <c r="C1031" s="18">
        <f>INDEX(emprunts!M:M,MATCH($A1031,emprunts!$A:$A,0))</f>
        <v>40848</v>
      </c>
      <c r="D1031" s="18">
        <f>IF(INDEX(emprunts!O:O,MATCH($A1031,emprunts!$A:$A,0))="",INDEX(emprunts!N:N,MATCH($A1031,emprunts!$A:$A,0)),MIN(INDEX(emprunts!N:N,MATCH($A1031,emprunts!$A:$A,0)),INDEX(emprunts!O:O,MATCH($A1031,emprunts!$A:$A,0))))</f>
        <v>41654</v>
      </c>
      <c r="E1031" s="52">
        <f>INDEX(emprunts!I:I,MATCH($A1031,emprunts!$A:$A,0))</f>
        <v>22</v>
      </c>
      <c r="F1031" s="18" t="str">
        <f>INDEX(emprunts!P:P,MATCH($A1031,emprunts!$A:$A,0))</f>
        <v>Change</v>
      </c>
      <c r="G1031" s="126" t="str">
        <f>IF(LEFT(A1031,3)="vx_","vx",INDEX(Categorie,MATCH($A1031,emprunts!$A$2:$A$149,0)))</f>
        <v>Struct</v>
      </c>
      <c r="H1031">
        <v>2015</v>
      </c>
      <c r="I1031">
        <f t="shared" si="176"/>
        <v>1</v>
      </c>
      <c r="N1031"/>
      <c r="O1031" s="58"/>
      <c r="P1031" s="58"/>
      <c r="Q1031" s="58"/>
      <c r="R1031" s="58"/>
      <c r="S1031" s="58"/>
      <c r="T1031" s="58"/>
      <c r="U1031" s="58"/>
      <c r="V1031" s="14" t="str">
        <f t="shared" si="174"/>
        <v/>
      </c>
      <c r="W1031" s="77"/>
      <c r="X1031" s="85">
        <f t="shared" si="177"/>
        <v>0</v>
      </c>
      <c r="Y1031" s="21" t="str">
        <f t="shared" si="175"/>
        <v/>
      </c>
      <c r="AA1031" s="55">
        <f t="shared" si="172"/>
        <v>0</v>
      </c>
      <c r="AB1031" s="55">
        <f t="shared" si="173"/>
        <v>0</v>
      </c>
      <c r="AC1031" s="55">
        <f t="shared" si="171"/>
        <v>0</v>
      </c>
    </row>
    <row r="1032" spans="1:29">
      <c r="A1032" t="s">
        <v>336</v>
      </c>
      <c r="B1032" s="16" t="str">
        <f>INDEX(emprunts!C:C,MATCH($A1032,emprunts!A:A,0))</f>
        <v>Dexia CL</v>
      </c>
      <c r="C1032" s="18">
        <f>INDEX(emprunts!M:M,MATCH($A1032,emprunts!$A:$A,0))</f>
        <v>40878</v>
      </c>
      <c r="D1032" s="18">
        <f>IF(INDEX(emprunts!O:O,MATCH($A1032,emprunts!$A:$A,0))="",INDEX(emprunts!N:N,MATCH($A1032,emprunts!$A:$A,0)),MIN(INDEX(emprunts!N:N,MATCH($A1032,emprunts!$A:$A,0)),INDEX(emprunts!O:O,MATCH($A1032,emprunts!$A:$A,0))))</f>
        <v>41244</v>
      </c>
      <c r="E1032" s="52">
        <f>INDEX(emprunts!I:I,MATCH($A1032,emprunts!$A:$A,0))</f>
        <v>18</v>
      </c>
      <c r="F1032" s="18" t="str">
        <f>INDEX(emprunts!P:P,MATCH($A1032,emprunts!$A:$A,0))</f>
        <v>Change</v>
      </c>
      <c r="G1032" s="126" t="str">
        <f>IF(LEFT(A1032,3)="vx_","vx",INDEX(Categorie,MATCH($A1032,emprunts!$A$2:$A$149,0)))</f>
        <v>Struct</v>
      </c>
      <c r="H1032">
        <v>2015</v>
      </c>
      <c r="I1032">
        <f t="shared" si="176"/>
        <v>1</v>
      </c>
      <c r="N1032"/>
      <c r="O1032" s="58"/>
      <c r="P1032" s="58"/>
      <c r="Q1032" s="58"/>
      <c r="R1032" s="58"/>
      <c r="S1032" s="58"/>
      <c r="T1032" s="58"/>
      <c r="U1032" s="58"/>
      <c r="V1032" s="14" t="str">
        <f t="shared" si="174"/>
        <v/>
      </c>
      <c r="W1032" s="77"/>
      <c r="X1032" s="85">
        <f t="shared" si="177"/>
        <v>0</v>
      </c>
      <c r="Y1032" s="21" t="str">
        <f t="shared" si="175"/>
        <v/>
      </c>
      <c r="AA1032" s="55">
        <f t="shared" si="172"/>
        <v>0</v>
      </c>
      <c r="AB1032" s="55">
        <f t="shared" si="173"/>
        <v>0</v>
      </c>
      <c r="AC1032" s="55">
        <f t="shared" si="171"/>
        <v>0</v>
      </c>
    </row>
    <row r="1033" spans="1:29">
      <c r="A1033" t="s">
        <v>338</v>
      </c>
      <c r="B1033" s="16" t="str">
        <f>INDEX(emprunts!C:C,MATCH($A1033,emprunts!A:A,0))</f>
        <v>Dexia CL</v>
      </c>
      <c r="C1033" s="18">
        <f>INDEX(emprunts!M:M,MATCH($A1033,emprunts!$A:$A,0))</f>
        <v>40878</v>
      </c>
      <c r="D1033" s="18">
        <f>IF(INDEX(emprunts!O:O,MATCH($A1033,emprunts!$A:$A,0))="",INDEX(emprunts!N:N,MATCH($A1033,emprunts!$A:$A,0)),MIN(INDEX(emprunts!N:N,MATCH($A1033,emprunts!$A:$A,0)),INDEX(emprunts!O:O,MATCH($A1033,emprunts!$A:$A,0))))</f>
        <v>49644</v>
      </c>
      <c r="E1033" s="52">
        <f>INDEX(emprunts!I:I,MATCH($A1033,emprunts!$A:$A,0))</f>
        <v>24</v>
      </c>
      <c r="F1033" s="18" t="str">
        <f>INDEX(emprunts!P:P,MATCH($A1033,emprunts!$A:$A,0))</f>
        <v>Variable</v>
      </c>
      <c r="G1033" s="126" t="str">
        <f>IF(LEFT(A1033,3)="vx_","vx",INDEX(Categorie,MATCH($A1033,emprunts!$A$2:$A$149,0)))</f>
        <v>Non_st</v>
      </c>
      <c r="H1033">
        <v>2015</v>
      </c>
      <c r="I1033">
        <f t="shared" si="176"/>
        <v>1</v>
      </c>
      <c r="N1033"/>
      <c r="O1033" s="58">
        <v>4108794</v>
      </c>
      <c r="P1033" s="75">
        <v>4.1000000000000003E-3</v>
      </c>
      <c r="Q1033" s="58">
        <v>17952.88</v>
      </c>
      <c r="R1033" s="58">
        <v>182257.58</v>
      </c>
      <c r="S1033" s="58"/>
      <c r="T1033" s="58">
        <v>982.69</v>
      </c>
      <c r="U1033" s="58">
        <f>SUM(Q1033:S1033)</f>
        <v>200210.46</v>
      </c>
      <c r="V1033" s="14">
        <f t="shared" si="174"/>
        <v>0</v>
      </c>
      <c r="W1033" s="77"/>
      <c r="X1033" s="85">
        <f t="shared" si="177"/>
        <v>0</v>
      </c>
      <c r="Y1033" s="21">
        <f t="shared" si="175"/>
        <v>4.1062777372032231E-3</v>
      </c>
      <c r="AA1033" s="55">
        <f t="shared" si="172"/>
        <v>17198.8</v>
      </c>
      <c r="AB1033" s="55">
        <f t="shared" si="173"/>
        <v>0.58000000007450581</v>
      </c>
      <c r="AC1033" s="55">
        <f t="shared" si="171"/>
        <v>4188416.1522191782</v>
      </c>
    </row>
    <row r="1034" spans="1:29">
      <c r="A1034" t="s">
        <v>339</v>
      </c>
      <c r="B1034" s="16" t="str">
        <f>INDEX(emprunts!C:C,MATCH($A1034,emprunts!A:A,0))</f>
        <v>Caisse d'Épargne</v>
      </c>
      <c r="C1034" s="18">
        <f>INDEX(emprunts!M:M,MATCH($A1034,emprunts!$A:$A,0))</f>
        <v>40913</v>
      </c>
      <c r="D1034" s="18">
        <f>IF(INDEX(emprunts!O:O,MATCH($A1034,emprunts!$A:$A,0))="",INDEX(emprunts!N:N,MATCH($A1034,emprunts!$A:$A,0)),MIN(INDEX(emprunts!N:N,MATCH($A1034,emprunts!$A:$A,0)),INDEX(emprunts!O:O,MATCH($A1034,emprunts!$A:$A,0))))</f>
        <v>48218</v>
      </c>
      <c r="E1034" s="52">
        <f>INDEX(emprunts!I:I,MATCH($A1034,emprunts!$A:$A,0))</f>
        <v>20</v>
      </c>
      <c r="F1034" s="18" t="str">
        <f>INDEX(emprunts!P:P,MATCH($A1034,emprunts!$A:$A,0))</f>
        <v>Barrière</v>
      </c>
      <c r="G1034" s="126" t="str">
        <f>IF(LEFT(A1034,3)="vx_","vx",INDEX(Categorie,MATCH($A1034,emprunts!$A$2:$A$149,0)))</f>
        <v>Struct</v>
      </c>
      <c r="H1034">
        <v>2015</v>
      </c>
      <c r="I1034">
        <f t="shared" si="176"/>
        <v>1</v>
      </c>
      <c r="N1034"/>
      <c r="O1034" s="58">
        <v>5786044</v>
      </c>
      <c r="P1034" s="75">
        <v>4.9000000000000002E-2</v>
      </c>
      <c r="Q1034" s="58">
        <v>296628.07</v>
      </c>
      <c r="R1034" s="58">
        <v>246217.85</v>
      </c>
      <c r="S1034" s="58"/>
      <c r="T1034" s="58">
        <v>280623.11</v>
      </c>
      <c r="U1034" s="58">
        <f>SUM(Q1034:S1034)</f>
        <v>542845.92000000004</v>
      </c>
      <c r="V1034" s="14">
        <f t="shared" si="174"/>
        <v>0</v>
      </c>
      <c r="W1034" s="77"/>
      <c r="X1034" s="85">
        <f t="shared" si="177"/>
        <v>0</v>
      </c>
      <c r="Y1034" s="21">
        <f t="shared" si="175"/>
        <v>4.8309566433619291E-2</v>
      </c>
      <c r="AA1034" s="55">
        <f t="shared" si="172"/>
        <v>284686.50999999995</v>
      </c>
      <c r="AB1034" s="55">
        <f t="shared" si="173"/>
        <v>0.84999999962747097</v>
      </c>
      <c r="AC1034" s="55">
        <f t="shared" si="171"/>
        <v>5892963.4649315067</v>
      </c>
    </row>
    <row r="1035" spans="1:29">
      <c r="A1035" t="s">
        <v>342</v>
      </c>
      <c r="B1035" s="16" t="str">
        <f>INDEX(emprunts!C:C,MATCH($A1035,emprunts!A:A,0))</f>
        <v>CDC</v>
      </c>
      <c r="C1035" s="18">
        <f>INDEX(emprunts!M:M,MATCH($A1035,emprunts!$A:$A,0))</f>
        <v>40991</v>
      </c>
      <c r="D1035" s="18">
        <f>IF(INDEX(emprunts!O:O,MATCH($A1035,emprunts!$A:$A,0))="",INDEX(emprunts!N:N,MATCH($A1035,emprunts!$A:$A,0)),MIN(INDEX(emprunts!N:N,MATCH($A1035,emprunts!$A:$A,0)),INDEX(emprunts!O:O,MATCH($A1035,emprunts!$A:$A,0))))</f>
        <v>46661</v>
      </c>
      <c r="E1035" s="52">
        <f>INDEX(emprunts!I:I,MATCH($A1035,emprunts!$A:$A,0))</f>
        <v>15.25</v>
      </c>
      <c r="F1035" s="18" t="str">
        <f>INDEX(emprunts!P:P,MATCH($A1035,emprunts!$A:$A,0))</f>
        <v>Variable</v>
      </c>
      <c r="G1035" s="126" t="str">
        <f>IF(LEFT(A1035,3)="vx_","vx",INDEX(Categorie,MATCH($A1035,emprunts!$A$2:$A$149,0)))</f>
        <v>Non_st</v>
      </c>
      <c r="H1035">
        <v>2015</v>
      </c>
      <c r="I1035">
        <f t="shared" si="176"/>
        <v>1</v>
      </c>
      <c r="N1035"/>
      <c r="O1035" s="58">
        <v>4895833</v>
      </c>
      <c r="P1035" s="75">
        <v>2.01E-2</v>
      </c>
      <c r="Q1035" s="58">
        <v>105717.57</v>
      </c>
      <c r="R1035" s="58">
        <v>416666.68</v>
      </c>
      <c r="S1035" s="58"/>
      <c r="T1035" s="58">
        <v>24008.62</v>
      </c>
      <c r="U1035" s="58">
        <f t="shared" ref="U1035:U1056" si="178">SUM(Q1035:S1035)</f>
        <v>522384.25</v>
      </c>
      <c r="V1035" s="14">
        <f t="shared" si="174"/>
        <v>0</v>
      </c>
      <c r="W1035" s="77"/>
      <c r="X1035" s="85">
        <f t="shared" si="177"/>
        <v>0</v>
      </c>
      <c r="Y1035" s="21">
        <f t="shared" si="175"/>
        <v>1.807843691391613E-2</v>
      </c>
      <c r="AA1035" s="55">
        <f t="shared" si="172"/>
        <v>92022.540000000008</v>
      </c>
      <c r="AB1035" s="55">
        <f t="shared" si="173"/>
        <v>-0.32000000029802322</v>
      </c>
      <c r="AC1035" s="55">
        <f t="shared" si="171"/>
        <v>5090182.3226301372</v>
      </c>
    </row>
    <row r="1036" spans="1:29">
      <c r="A1036" s="1" t="s">
        <v>531</v>
      </c>
      <c r="B1036" s="16" t="str">
        <f>INDEX(emprunts!C:C,MATCH($A1036,emprunts!A:A,0))</f>
        <v>Dexia CL</v>
      </c>
      <c r="C1036" s="18">
        <f>INDEX(emprunts!M:M,MATCH($A1036,emprunts!$A:$A,0))</f>
        <v>41030</v>
      </c>
      <c r="D1036" s="18">
        <f>IF(INDEX(emprunts!O:O,MATCH($A1036,emprunts!$A:$A,0))="",INDEX(emprunts!N:N,MATCH($A1036,emprunts!$A:$A,0)),MIN(INDEX(emprunts!N:N,MATCH($A1036,emprunts!$A:$A,0)),INDEX(emprunts!O:O,MATCH($A1036,emprunts!$A:$A,0))))</f>
        <v>48122</v>
      </c>
      <c r="E1036" s="52">
        <f>INDEX(emprunts!I:I,MATCH($A1036,emprunts!$A:$A,0))</f>
        <v>19.420000000000002</v>
      </c>
      <c r="F1036" s="18" t="str">
        <f>INDEX(emprunts!P:P,MATCH($A1036,emprunts!$A:$A,0))</f>
        <v>Barrière avec multiplicateur</v>
      </c>
      <c r="G1036" s="126" t="str">
        <f>IF(LEFT(A1036,3)="vx_","vx",INDEX(Categorie,MATCH($A1036,emprunts!$A$2:$A$149,0)))</f>
        <v>Struct</v>
      </c>
      <c r="H1036">
        <v>2015</v>
      </c>
      <c r="I1036">
        <f t="shared" si="176"/>
        <v>1</v>
      </c>
      <c r="N1036"/>
      <c r="O1036" s="58">
        <v>13761759</v>
      </c>
      <c r="P1036" s="75">
        <v>1.8700000000000001E-2</v>
      </c>
      <c r="Q1036" s="58">
        <v>274616.18</v>
      </c>
      <c r="R1036" s="58">
        <v>554007.9</v>
      </c>
      <c r="S1036" s="58"/>
      <c r="T1036" s="58">
        <v>63380.36</v>
      </c>
      <c r="U1036" s="58">
        <f t="shared" si="178"/>
        <v>828624.08000000007</v>
      </c>
      <c r="V1036" s="14">
        <f t="shared" si="174"/>
        <v>0</v>
      </c>
      <c r="W1036" s="77"/>
      <c r="X1036" s="85">
        <f t="shared" si="177"/>
        <v>0</v>
      </c>
      <c r="Y1036" s="21">
        <f t="shared" si="175"/>
        <v>1.8696073587616754E-2</v>
      </c>
      <c r="AA1036" s="55">
        <f t="shared" si="172"/>
        <v>261750.64999999997</v>
      </c>
      <c r="AB1036" s="55">
        <f t="shared" si="173"/>
        <v>-9.999999962747097E-2</v>
      </c>
      <c r="AC1036" s="55">
        <f t="shared" si="171"/>
        <v>14000300.585753424</v>
      </c>
    </row>
    <row r="1037" spans="1:29">
      <c r="A1037" s="1" t="s">
        <v>490</v>
      </c>
      <c r="B1037" s="16" t="str">
        <f>INDEX(emprunts!C:C,MATCH($A1037,emprunts!A:A,0))</f>
        <v>Dexia CL</v>
      </c>
      <c r="C1037" s="18">
        <f>INDEX(emprunts!M:M,MATCH($A1037,emprunts!$A:$A,0))</f>
        <v>41030</v>
      </c>
      <c r="D1037" s="18">
        <f>IF(INDEX(emprunts!O:O,MATCH($A1037,emprunts!$A:$A,0))="",INDEX(emprunts!N:N,MATCH($A1037,emprunts!$A:$A,0)),MIN(INDEX(emprunts!N:N,MATCH($A1037,emprunts!$A:$A,0)),INDEX(emprunts!O:O,MATCH($A1037,emprunts!$A:$A,0))))</f>
        <v>41760</v>
      </c>
      <c r="E1037" s="52">
        <f>INDEX(emprunts!I:I,MATCH($A1037,emprunts!$A:$A,0))</f>
        <v>17</v>
      </c>
      <c r="F1037" s="18" t="str">
        <f>INDEX(emprunts!P:P,MATCH($A1037,emprunts!$A:$A,0))</f>
        <v>Change</v>
      </c>
      <c r="G1037" s="126" t="str">
        <f>IF(LEFT(A1037,3)="vx_","vx",INDEX(Categorie,MATCH($A1037,emprunts!$A$2:$A$149,0)))</f>
        <v>Struct</v>
      </c>
      <c r="H1037">
        <v>2015</v>
      </c>
      <c r="I1037">
        <f t="shared" si="176"/>
        <v>1</v>
      </c>
      <c r="N1037"/>
      <c r="O1037" s="58">
        <v>0</v>
      </c>
      <c r="P1037" s="58"/>
      <c r="Q1037" s="58">
        <v>238779.61</v>
      </c>
      <c r="R1037" s="58">
        <v>286456.24</v>
      </c>
      <c r="S1037" s="58"/>
      <c r="T1037" s="58">
        <v>0</v>
      </c>
      <c r="U1037" s="58">
        <f t="shared" si="178"/>
        <v>525235.85</v>
      </c>
      <c r="V1037" s="14">
        <f t="shared" si="174"/>
        <v>0</v>
      </c>
      <c r="W1037" s="77"/>
      <c r="X1037" s="85">
        <f t="shared" si="177"/>
        <v>5911000</v>
      </c>
      <c r="Y1037" s="21" t="e">
        <f t="shared" si="175"/>
        <v>#DIV/0!</v>
      </c>
      <c r="AA1037" s="55">
        <f t="shared" si="172"/>
        <v>28749.959999999992</v>
      </c>
      <c r="AB1037" s="55">
        <f t="shared" si="173"/>
        <v>-139.75999999977648</v>
      </c>
      <c r="AC1037" s="55">
        <f t="shared" si="171"/>
        <v>0</v>
      </c>
    </row>
    <row r="1038" spans="1:29">
      <c r="A1038" t="s">
        <v>352</v>
      </c>
      <c r="B1038" s="16" t="str">
        <f>INDEX(emprunts!C:C,MATCH($A1038,emprunts!A:A,0))</f>
        <v>Caisse d'Épargne</v>
      </c>
      <c r="C1038" s="18">
        <f>INDEX(emprunts!M:M,MATCH($A1038,emprunts!$A:$A,0))</f>
        <v>41167</v>
      </c>
      <c r="D1038" s="18">
        <f>IF(INDEX(emprunts!O:O,MATCH($A1038,emprunts!$A:$A,0))="",INDEX(emprunts!N:N,MATCH($A1038,emprunts!$A:$A,0)),MIN(INDEX(emprunts!N:N,MATCH($A1038,emprunts!$A:$A,0)),INDEX(emprunts!O:O,MATCH($A1038,emprunts!$A:$A,0))))</f>
        <v>48785</v>
      </c>
      <c r="E1038" s="52">
        <f>INDEX(emprunts!I:I,MATCH($A1038,emprunts!$A:$A,0))</f>
        <v>20.8</v>
      </c>
      <c r="F1038" s="18" t="str">
        <f>INDEX(emprunts!P:P,MATCH($A1038,emprunts!$A:$A,0))</f>
        <v>Fixe</v>
      </c>
      <c r="G1038" s="126" t="str">
        <f>IF(LEFT(A1038,3)="vx_","vx",INDEX(Categorie,MATCH($A1038,emprunts!$A$2:$A$149,0)))</f>
        <v>Non_st</v>
      </c>
      <c r="H1038">
        <v>2015</v>
      </c>
      <c r="I1038">
        <f t="shared" si="176"/>
        <v>1</v>
      </c>
      <c r="N1038"/>
      <c r="O1038" s="58">
        <v>18609542</v>
      </c>
      <c r="P1038" s="75">
        <v>4.5100000000000001E-2</v>
      </c>
      <c r="Q1038" s="58">
        <v>859254.07</v>
      </c>
      <c r="R1038" s="58">
        <v>637208.38</v>
      </c>
      <c r="S1038" s="58"/>
      <c r="T1038" s="58">
        <v>154403.12</v>
      </c>
      <c r="U1038" s="58">
        <f t="shared" si="178"/>
        <v>1496462.45</v>
      </c>
      <c r="V1038" s="14">
        <f t="shared" si="174"/>
        <v>0</v>
      </c>
      <c r="W1038" s="77"/>
      <c r="X1038" s="85">
        <f t="shared" si="177"/>
        <v>0</v>
      </c>
      <c r="Y1038" s="21">
        <f t="shared" si="175"/>
        <v>4.5240206043328644E-2</v>
      </c>
      <c r="AA1038" s="55">
        <f t="shared" si="172"/>
        <v>853967.16999999993</v>
      </c>
      <c r="AB1038" s="55">
        <f t="shared" si="173"/>
        <v>0.37999999895691872</v>
      </c>
      <c r="AC1038" s="55">
        <f t="shared" si="171"/>
        <v>18876288.255232878</v>
      </c>
    </row>
    <row r="1039" spans="1:29">
      <c r="A1039" s="1" t="s">
        <v>493</v>
      </c>
      <c r="B1039" s="16" t="str">
        <f>INDEX(emprunts!C:C,MATCH($A1039,emprunts!A:A,0))</f>
        <v>Dexia CL</v>
      </c>
      <c r="C1039" s="18">
        <f>INDEX(emprunts!M:M,MATCH($A1039,emprunts!$A:$A,0))</f>
        <v>41244</v>
      </c>
      <c r="D1039" s="18">
        <f>IF(INDEX(emprunts!O:O,MATCH($A1039,emprunts!$A:$A,0))="",INDEX(emprunts!N:N,MATCH($A1039,emprunts!$A:$A,0)),MIN(INDEX(emprunts!N:N,MATCH($A1039,emprunts!$A:$A,0)),INDEX(emprunts!O:O,MATCH($A1039,emprunts!$A:$A,0))))</f>
        <v>42675</v>
      </c>
      <c r="E1039" s="52">
        <f>INDEX(emprunts!I:I,MATCH($A1039,emprunts!$A:$A,0))</f>
        <v>17</v>
      </c>
      <c r="F1039" s="18" t="str">
        <f>INDEX(emprunts!P:P,MATCH($A1039,emprunts!$A:$A,0))</f>
        <v>Change</v>
      </c>
      <c r="G1039" s="126" t="str">
        <f>IF(LEFT(A1039,3)="vx_","vx",INDEX(Categorie,MATCH($A1039,emprunts!$A$2:$A$149,0)))</f>
        <v>Struct</v>
      </c>
      <c r="H1039">
        <v>2015</v>
      </c>
      <c r="I1039">
        <f t="shared" si="176"/>
        <v>1</v>
      </c>
      <c r="N1039"/>
      <c r="O1039" s="59">
        <v>4928623</v>
      </c>
      <c r="P1039" s="75">
        <v>3.7699999999999997E-2</v>
      </c>
      <c r="Q1039" s="58">
        <v>267932.65000000002</v>
      </c>
      <c r="R1039" s="58">
        <v>409582.65</v>
      </c>
      <c r="S1039" s="58"/>
      <c r="T1039" s="58">
        <v>80467.92</v>
      </c>
      <c r="U1039" s="58">
        <f t="shared" si="178"/>
        <v>677515.3</v>
      </c>
      <c r="V1039" s="14">
        <f t="shared" si="174"/>
        <v>0</v>
      </c>
      <c r="W1039" s="77"/>
      <c r="X1039" s="85">
        <f t="shared" si="177"/>
        <v>3500000</v>
      </c>
      <c r="Y1039" s="21">
        <f t="shared" si="175"/>
        <v>3.6188542877330518E-2</v>
      </c>
      <c r="Z1039" t="s">
        <v>544</v>
      </c>
      <c r="AA1039" s="55">
        <f t="shared" si="172"/>
        <v>311574.71000000002</v>
      </c>
      <c r="AB1039" s="55">
        <f t="shared" si="173"/>
        <v>0.65000000037252903</v>
      </c>
      <c r="AC1039" s="55">
        <f t="shared" si="171"/>
        <v>8609761.135068493</v>
      </c>
    </row>
    <row r="1040" spans="1:29" ht="30">
      <c r="A1040" s="1" t="s">
        <v>495</v>
      </c>
      <c r="B1040" s="16" t="str">
        <f>INDEX(emprunts!C:C,MATCH($A1040,emprunts!A:A,0))</f>
        <v>Dexia CL</v>
      </c>
      <c r="C1040" s="18">
        <f>INDEX(emprunts!M:M,MATCH($A1040,emprunts!$A:$A,0))</f>
        <v>41244</v>
      </c>
      <c r="D1040" s="18">
        <f>IF(INDEX(emprunts!O:O,MATCH($A1040,emprunts!$A:$A,0))="",INDEX(emprunts!N:N,MATCH($A1040,emprunts!$A:$A,0)),MIN(INDEX(emprunts!N:N,MATCH($A1040,emprunts!$A:$A,0)),INDEX(emprunts!O:O,MATCH($A1040,emprunts!$A:$A,0))))</f>
        <v>48914</v>
      </c>
      <c r="E1040" s="52">
        <f>INDEX(emprunts!I:I,MATCH($A1040,emprunts!$A:$A,0))</f>
        <v>21</v>
      </c>
      <c r="F1040" s="18" t="str">
        <f>INDEX(emprunts!P:P,MATCH($A1040,emprunts!$A:$A,0))</f>
        <v>Fixe</v>
      </c>
      <c r="G1040" s="126" t="str">
        <f>IF(LEFT(A1040,3)="vx_","vx",INDEX(Categorie,MATCH($A1040,emprunts!$A$2:$A$149,0)))</f>
        <v>Restr_sec</v>
      </c>
      <c r="H1040">
        <v>2015</v>
      </c>
      <c r="I1040">
        <f t="shared" si="176"/>
        <v>1</v>
      </c>
      <c r="N1040"/>
      <c r="O1040" s="58">
        <v>6295001</v>
      </c>
      <c r="P1040" s="75">
        <v>5.21E-2</v>
      </c>
      <c r="Q1040" s="58">
        <v>363609.33</v>
      </c>
      <c r="R1040" s="58">
        <v>668656.88</v>
      </c>
      <c r="S1040" s="58"/>
      <c r="T1040" s="58">
        <v>27016.05</v>
      </c>
      <c r="U1040" s="58">
        <f t="shared" si="178"/>
        <v>1032266.21</v>
      </c>
      <c r="V1040" s="14">
        <f t="shared" si="174"/>
        <v>0</v>
      </c>
      <c r="W1040" s="77"/>
      <c r="X1040" s="85">
        <f t="shared" si="177"/>
        <v>0</v>
      </c>
      <c r="Y1040" s="21">
        <f t="shared" si="175"/>
        <v>5.4565205478296921E-2</v>
      </c>
      <c r="AA1040" s="55">
        <f t="shared" si="172"/>
        <v>360739.68</v>
      </c>
      <c r="AB1040" s="55">
        <f t="shared" si="173"/>
        <v>-0.12000000011175871</v>
      </c>
      <c r="AC1040" s="55">
        <f t="shared" si="171"/>
        <v>6611166.8935890412</v>
      </c>
    </row>
    <row r="1041" spans="1:29" ht="30">
      <c r="A1041" s="1" t="s">
        <v>506</v>
      </c>
      <c r="B1041" s="16" t="str">
        <f>INDEX(emprunts!C:C,MATCH($A1041,emprunts!A:A,0))</f>
        <v>Caisse d'Épargne</v>
      </c>
      <c r="C1041" s="18">
        <f>INDEX(emprunts!M:M,MATCH($A1041,emprunts!$A:$A,0))</f>
        <v>41330</v>
      </c>
      <c r="D1041" s="18">
        <f>IF(INDEX(emprunts!O:O,MATCH($A1041,emprunts!$A:$A,0))="",INDEX(emprunts!N:N,MATCH($A1041,emprunts!$A:$A,0)),MIN(INDEX(emprunts!N:N,MATCH($A1041,emprunts!$A:$A,0)),INDEX(emprunts!O:O,MATCH($A1041,emprunts!$A:$A,0))))</f>
        <v>48635</v>
      </c>
      <c r="E1041" s="52">
        <f>INDEX(emprunts!I:I,MATCH($A1041,emprunts!$A:$A,0))</f>
        <v>20</v>
      </c>
      <c r="F1041" s="18" t="str">
        <f>INDEX(emprunts!P:P,MATCH($A1041,emprunts!$A:$A,0))</f>
        <v>Fixe</v>
      </c>
      <c r="G1041" s="126" t="str">
        <f>IF(LEFT(A1041,3)="vx_","vx",INDEX(Categorie,MATCH($A1041,emprunts!$A$2:$A$149,0)))</f>
        <v>Restr_sec</v>
      </c>
      <c r="H1041">
        <v>2015</v>
      </c>
      <c r="I1041">
        <f t="shared" si="176"/>
        <v>1</v>
      </c>
      <c r="N1041"/>
      <c r="O1041" s="58">
        <v>3703195</v>
      </c>
      <c r="P1041" s="75">
        <v>4.4900000000000002E-2</v>
      </c>
      <c r="Q1041" s="58">
        <v>170382.87</v>
      </c>
      <c r="R1041" s="58">
        <v>132342.35999999999</v>
      </c>
      <c r="S1041" s="58"/>
      <c r="T1041" s="58">
        <v>16436.099999999999</v>
      </c>
      <c r="U1041" s="58">
        <f t="shared" si="178"/>
        <v>302725.23</v>
      </c>
      <c r="V1041" s="14">
        <f t="shared" si="174"/>
        <v>0</v>
      </c>
      <c r="W1041" s="77"/>
      <c r="X1041" s="85">
        <f t="shared" si="177"/>
        <v>0</v>
      </c>
      <c r="Y1041" s="21">
        <f t="shared" si="175"/>
        <v>4.5169917963866699E-2</v>
      </c>
      <c r="AA1041" s="55">
        <f t="shared" si="172"/>
        <v>169795.49</v>
      </c>
      <c r="AB1041" s="55">
        <f t="shared" si="173"/>
        <v>0.35999999986961484</v>
      </c>
      <c r="AC1041" s="55">
        <f t="shared" si="171"/>
        <v>3759039.1493698633</v>
      </c>
    </row>
    <row r="1042" spans="1:29" ht="30">
      <c r="A1042" s="1" t="s">
        <v>498</v>
      </c>
      <c r="B1042" s="16" t="str">
        <f>INDEX(emprunts!C:C,MATCH($A1042,emprunts!A:A,0))</f>
        <v>Dexia CL</v>
      </c>
      <c r="C1042" s="18">
        <f>INDEX(emprunts!M:M,MATCH($A1042,emprunts!$A:$A,0))</f>
        <v>41426</v>
      </c>
      <c r="D1042" s="18">
        <f>IF(INDEX(emprunts!O:O,MATCH($A1042,emprunts!$A:$A,0))="",INDEX(emprunts!N:N,MATCH($A1042,emprunts!$A:$A,0)),MIN(INDEX(emprunts!N:N,MATCH($A1042,emprunts!$A:$A,0)),INDEX(emprunts!O:O,MATCH($A1042,emprunts!$A:$A,0))))</f>
        <v>48731</v>
      </c>
      <c r="E1042" s="52">
        <f>INDEX(emprunts!I:I,MATCH($A1042,emprunts!$A:$A,0))</f>
        <v>20</v>
      </c>
      <c r="F1042" s="18" t="str">
        <f>INDEX(emprunts!P:P,MATCH($A1042,emprunts!$A:$A,0))</f>
        <v>Fixe</v>
      </c>
      <c r="G1042" s="126" t="str">
        <f>IF(LEFT(A1042,3)="vx_","vx",INDEX(Categorie,MATCH($A1042,emprunts!$A$2:$A$149,0)))</f>
        <v>Restr_sec</v>
      </c>
      <c r="H1042">
        <v>2015</v>
      </c>
      <c r="I1042">
        <f t="shared" si="176"/>
        <v>1</v>
      </c>
      <c r="N1042"/>
      <c r="O1042" s="58">
        <v>15543965</v>
      </c>
      <c r="P1042" s="75">
        <v>5.04E-2</v>
      </c>
      <c r="Q1042" s="58">
        <v>815050.2</v>
      </c>
      <c r="R1042" s="58">
        <v>598306.34</v>
      </c>
      <c r="S1042" s="58"/>
      <c r="T1042" s="58">
        <v>458002.94</v>
      </c>
      <c r="U1042" s="58">
        <f t="shared" si="178"/>
        <v>1413356.54</v>
      </c>
      <c r="V1042" s="14">
        <f t="shared" si="174"/>
        <v>0</v>
      </c>
      <c r="W1042" s="77"/>
      <c r="X1042" s="85">
        <f t="shared" si="177"/>
        <v>0</v>
      </c>
      <c r="Y1042" s="21">
        <f t="shared" si="175"/>
        <v>5.0470609305261822E-2</v>
      </c>
      <c r="AA1042" s="55">
        <f t="shared" si="172"/>
        <v>797421.10999999987</v>
      </c>
      <c r="AB1042" s="55">
        <f t="shared" si="173"/>
        <v>-0.66000000014901161</v>
      </c>
      <c r="AC1042" s="55">
        <f t="shared" si="171"/>
        <v>15799712.366794521</v>
      </c>
    </row>
    <row r="1043" spans="1:29">
      <c r="A1043" t="s">
        <v>357</v>
      </c>
      <c r="B1043" s="16" t="str">
        <f>INDEX(emprunts!C:C,MATCH($A1043,emprunts!A:A,0))</f>
        <v>Caisse d'Épargne</v>
      </c>
      <c r="C1043" s="18">
        <f>INDEX(emprunts!M:M,MATCH($A1043,emprunts!$A:$A,0))</f>
        <v>41639</v>
      </c>
      <c r="D1043" s="18">
        <f>IF(INDEX(emprunts!O:O,MATCH($A1043,emprunts!$A:$A,0))="",INDEX(emprunts!N:N,MATCH($A1043,emprunts!$A:$A,0)),MIN(INDEX(emprunts!N:N,MATCH($A1043,emprunts!$A:$A,0)),INDEX(emprunts!O:O,MATCH($A1043,emprunts!$A:$A,0))))</f>
        <v>48944</v>
      </c>
      <c r="E1043" s="52">
        <f>INDEX(emprunts!I:I,MATCH($A1043,emprunts!$A:$A,0))</f>
        <v>20</v>
      </c>
      <c r="F1043" s="18" t="str">
        <f>INDEX(emprunts!P:P,MATCH($A1043,emprunts!$A:$A,0))</f>
        <v>Fixe</v>
      </c>
      <c r="G1043" s="126" t="str">
        <f>IF(LEFT(A1043,3)="vx_","vx",INDEX(Categorie,MATCH($A1043,emprunts!$A$2:$A$149,0)))</f>
        <v>Non_st</v>
      </c>
      <c r="H1043">
        <v>2015</v>
      </c>
      <c r="I1043">
        <f t="shared" si="176"/>
        <v>1</v>
      </c>
      <c r="N1043"/>
      <c r="O1043" s="58">
        <v>9000000</v>
      </c>
      <c r="P1043" s="75">
        <v>0.04</v>
      </c>
      <c r="Q1043" s="58">
        <v>418989.58</v>
      </c>
      <c r="R1043" s="58">
        <v>500000</v>
      </c>
      <c r="S1043" s="58"/>
      <c r="T1043" s="58">
        <v>0</v>
      </c>
      <c r="U1043" s="58">
        <f t="shared" si="178"/>
        <v>918989.58000000007</v>
      </c>
      <c r="V1043" s="14">
        <f t="shared" si="174"/>
        <v>0</v>
      </c>
      <c r="W1043" s="77"/>
      <c r="X1043" s="85">
        <f t="shared" si="177"/>
        <v>0</v>
      </c>
      <c r="Y1043" s="21">
        <f t="shared" si="175"/>
        <v>4.5420610840510842E-2</v>
      </c>
      <c r="AA1043" s="55">
        <f t="shared" si="172"/>
        <v>418989.58</v>
      </c>
      <c r="AB1043" s="55">
        <f t="shared" si="173"/>
        <v>0</v>
      </c>
      <c r="AC1043" s="55">
        <f t="shared" si="171"/>
        <v>9224657.5342465751</v>
      </c>
    </row>
    <row r="1044" spans="1:29" ht="30">
      <c r="A1044" t="s">
        <v>358</v>
      </c>
      <c r="B1044" s="16" t="str">
        <f>INDEX(emprunts!C:C,MATCH($A1044,emprunts!A:A,0))</f>
        <v>Société Générale</v>
      </c>
      <c r="C1044" s="18">
        <f>INDEX(emprunts!M:M,MATCH($A1044,emprunts!$A:$A,0))</f>
        <v>41640</v>
      </c>
      <c r="D1044" s="18">
        <f>IF(INDEX(emprunts!O:O,MATCH($A1044,emprunts!$A:$A,0))="",INDEX(emprunts!N:N,MATCH($A1044,emprunts!$A:$A,0)),MIN(INDEX(emprunts!N:N,MATCH($A1044,emprunts!$A:$A,0)),INDEX(emprunts!O:O,MATCH($A1044,emprunts!$A:$A,0))))</f>
        <v>49310</v>
      </c>
      <c r="E1044" s="52">
        <f>INDEX(emprunts!I:I,MATCH($A1044,emprunts!$A:$A,0))</f>
        <v>21</v>
      </c>
      <c r="F1044" s="18" t="str">
        <f>INDEX(emprunts!P:P,MATCH($A1044,emprunts!$A:$A,0))</f>
        <v>Fixe</v>
      </c>
      <c r="G1044" s="126" t="str">
        <f>IF(LEFT(A1044,3)="vx_","vx",INDEX(Categorie,MATCH($A1044,emprunts!$A$2:$A$149,0)))</f>
        <v>Restr_sec</v>
      </c>
      <c r="H1044">
        <v>2015</v>
      </c>
      <c r="I1044">
        <f t="shared" si="176"/>
        <v>1</v>
      </c>
      <c r="N1044"/>
      <c r="O1044" s="58">
        <v>3957661</v>
      </c>
      <c r="P1044" s="75">
        <v>4.8500000000000001E-2</v>
      </c>
      <c r="Q1044" s="58">
        <v>374401.57</v>
      </c>
      <c r="R1044" s="58">
        <v>113990.39999999999</v>
      </c>
      <c r="S1044" s="58"/>
      <c r="T1044" s="58">
        <v>15830.64</v>
      </c>
      <c r="U1044" s="58">
        <f t="shared" si="178"/>
        <v>488391.97</v>
      </c>
      <c r="V1044" s="14">
        <f t="shared" si="174"/>
        <v>0</v>
      </c>
      <c r="W1044" s="77"/>
      <c r="X1044" s="85">
        <f t="shared" si="177"/>
        <v>0</v>
      </c>
      <c r="Y1044" s="21">
        <f t="shared" si="175"/>
        <v>4.811135748445524E-2</v>
      </c>
      <c r="AA1044" s="55">
        <f t="shared" si="172"/>
        <v>192621.38000000003</v>
      </c>
      <c r="AB1044" s="55">
        <f t="shared" si="173"/>
        <v>-0.60000000009313226</v>
      </c>
      <c r="AC1044" s="55">
        <f t="shared" si="171"/>
        <v>4003657.1419178084</v>
      </c>
    </row>
    <row r="1045" spans="1:29" ht="30">
      <c r="A1045" t="s">
        <v>359</v>
      </c>
      <c r="B1045" s="16" t="str">
        <f>INDEX(emprunts!C:C,MATCH($A1045,emprunts!A:A,0))</f>
        <v>Dexia CL</v>
      </c>
      <c r="C1045" s="18">
        <f>INDEX(emprunts!M:M,MATCH($A1045,emprunts!$A:$A,0))</f>
        <v>41654</v>
      </c>
      <c r="D1045" s="18">
        <f>IF(INDEX(emprunts!O:O,MATCH($A1045,emprunts!$A:$A,0))="",INDEX(emprunts!N:N,MATCH($A1045,emprunts!$A:$A,0)),MIN(INDEX(emprunts!N:N,MATCH($A1045,emprunts!$A:$A,0)),INDEX(emprunts!O:O,MATCH($A1045,emprunts!$A:$A,0))))</f>
        <v>48884</v>
      </c>
      <c r="E1045" s="52">
        <f>INDEX(emprunts!I:I,MATCH($A1045,emprunts!$A:$A,0))</f>
        <v>19.829999999999998</v>
      </c>
      <c r="F1045" s="18" t="str">
        <f>INDEX(emprunts!P:P,MATCH($A1045,emprunts!$A:$A,0))</f>
        <v>Fixe</v>
      </c>
      <c r="G1045" s="126" t="str">
        <f>IF(LEFT(A1045,3)="vx_","vx",INDEX(Categorie,MATCH($A1045,emprunts!$A$2:$A$149,0)))</f>
        <v>Restr_sec</v>
      </c>
      <c r="H1045">
        <v>2015</v>
      </c>
      <c r="I1045">
        <f t="shared" si="176"/>
        <v>1</v>
      </c>
      <c r="N1045"/>
      <c r="O1045" s="58">
        <v>22478140</v>
      </c>
      <c r="P1045" s="75">
        <v>4.6899999999999997E-2</v>
      </c>
      <c r="Q1045" s="58">
        <v>1107853.54</v>
      </c>
      <c r="R1045" s="58">
        <v>1070943.1399999999</v>
      </c>
      <c r="S1045" s="58"/>
      <c r="T1045" s="58">
        <v>173830.95</v>
      </c>
      <c r="U1045" s="58">
        <f t="shared" si="178"/>
        <v>2178796.6799999997</v>
      </c>
      <c r="V1045" s="14">
        <f t="shared" si="174"/>
        <v>0</v>
      </c>
      <c r="W1045" s="77"/>
      <c r="X1045" s="85">
        <f t="shared" si="177"/>
        <v>0</v>
      </c>
      <c r="Y1045" s="21">
        <f t="shared" si="175"/>
        <v>4.7910445420103878E-2</v>
      </c>
      <c r="AA1045" s="55">
        <f t="shared" si="172"/>
        <v>1099571.58</v>
      </c>
      <c r="AB1045" s="55">
        <f t="shared" si="173"/>
        <v>0.14000000059604645</v>
      </c>
      <c r="AC1045" s="55">
        <f t="shared" si="171"/>
        <v>22950560.579397261</v>
      </c>
    </row>
    <row r="1046" spans="1:29">
      <c r="A1046" t="s">
        <v>360</v>
      </c>
      <c r="B1046" s="16" t="str">
        <f>INDEX(emprunts!C:C,MATCH($A1046,emprunts!A:A,0))</f>
        <v>Caisse d'Épargne</v>
      </c>
      <c r="C1046" s="18">
        <f>INDEX(emprunts!M:M,MATCH($A1046,emprunts!$A:$A,0))</f>
        <v>41695</v>
      </c>
      <c r="D1046" s="18">
        <f>IF(INDEX(emprunts!O:O,MATCH($A1046,emprunts!$A:$A,0))="",INDEX(emprunts!N:N,MATCH($A1046,emprunts!$A:$A,0)),MIN(INDEX(emprunts!N:N,MATCH($A1046,emprunts!$A:$A,0)),INDEX(emprunts!O:O,MATCH($A1046,emprunts!$A:$A,0))))</f>
        <v>43156</v>
      </c>
      <c r="E1046" s="52">
        <f>INDEX(emprunts!I:I,MATCH($A1046,emprunts!$A:$A,0))</f>
        <v>5</v>
      </c>
      <c r="F1046" s="18" t="str">
        <f>INDEX(emprunts!P:P,MATCH($A1046,emprunts!$A:$A,0))</f>
        <v>Courbes</v>
      </c>
      <c r="G1046" s="126" t="str">
        <f>IF(LEFT(A1046,3)="vx_","vx",INDEX(Categorie,MATCH($A1046,emprunts!$A$2:$A$149,0)))</f>
        <v>Struct</v>
      </c>
      <c r="H1046">
        <v>2015</v>
      </c>
      <c r="I1046">
        <f t="shared" si="176"/>
        <v>1</v>
      </c>
      <c r="N1046"/>
      <c r="O1046" s="58">
        <v>6606733</v>
      </c>
      <c r="P1046" s="75">
        <v>5.0599999999999999E-2</v>
      </c>
      <c r="Q1046" s="58">
        <v>365959.13</v>
      </c>
      <c r="R1046" s="58">
        <v>612186.52</v>
      </c>
      <c r="S1046" s="58"/>
      <c r="T1046" s="58">
        <v>283538.98</v>
      </c>
      <c r="U1046" s="58">
        <f t="shared" si="178"/>
        <v>978145.65</v>
      </c>
      <c r="V1046" s="14">
        <f t="shared" si="174"/>
        <v>0</v>
      </c>
      <c r="W1046" s="77"/>
      <c r="X1046" s="85">
        <f t="shared" si="177"/>
        <v>0</v>
      </c>
      <c r="Y1046" s="21">
        <f t="shared" si="175"/>
        <v>4.9273527330606769E-2</v>
      </c>
      <c r="AA1046" s="55">
        <f t="shared" si="172"/>
        <v>339686.13</v>
      </c>
      <c r="AB1046" s="55">
        <f t="shared" si="173"/>
        <v>-0.48000000044703484</v>
      </c>
      <c r="AC1046" s="55">
        <f t="shared" si="171"/>
        <v>6893887.0099726021</v>
      </c>
    </row>
    <row r="1047" spans="1:29" ht="30">
      <c r="A1047" t="s">
        <v>361</v>
      </c>
      <c r="B1047" s="16" t="str">
        <f>INDEX(emprunts!C:C,MATCH($A1047,emprunts!A:A,0))</f>
        <v>Caisse d'Épargne</v>
      </c>
      <c r="C1047" s="18">
        <f>INDEX(emprunts!M:M,MATCH($A1047,emprunts!$A:$A,0))</f>
        <v>41695</v>
      </c>
      <c r="D1047" s="18">
        <f>IF(INDEX(emprunts!O:O,MATCH($A1047,emprunts!$A:$A,0))="",INDEX(emprunts!N:N,MATCH($A1047,emprunts!$A:$A,0)),MIN(INDEX(emprunts!N:N,MATCH($A1047,emprunts!$A:$A,0)),INDEX(emprunts!O:O,MATCH($A1047,emprunts!$A:$A,0))))</f>
        <v>46078</v>
      </c>
      <c r="E1047" s="52">
        <f>INDEX(emprunts!I:I,MATCH($A1047,emprunts!$A:$A,0))</f>
        <v>12</v>
      </c>
      <c r="F1047" s="18" t="str">
        <f>INDEX(emprunts!P:P,MATCH($A1047,emprunts!$A:$A,0))</f>
        <v>Fixe</v>
      </c>
      <c r="G1047" s="126" t="str">
        <f>IF(LEFT(A1047,3)="vx_","vx",INDEX(Categorie,MATCH($A1047,emprunts!$A$2:$A$149,0)))</f>
        <v>Restr_sec</v>
      </c>
      <c r="H1047">
        <v>2015</v>
      </c>
      <c r="I1047">
        <f t="shared" si="176"/>
        <v>1</v>
      </c>
      <c r="N1047"/>
      <c r="O1047" s="58">
        <v>2321284</v>
      </c>
      <c r="P1047" s="75">
        <v>4.7800000000000002E-2</v>
      </c>
      <c r="Q1047" s="58">
        <v>121636.89</v>
      </c>
      <c r="R1047" s="58">
        <v>215092.56</v>
      </c>
      <c r="S1047" s="58"/>
      <c r="T1047" s="58">
        <v>94242.21</v>
      </c>
      <c r="U1047" s="58">
        <f t="shared" si="178"/>
        <v>336729.45</v>
      </c>
      <c r="V1047" s="14">
        <f t="shared" si="174"/>
        <v>0</v>
      </c>
      <c r="W1047" s="77"/>
      <c r="X1047" s="85">
        <f t="shared" si="177"/>
        <v>0</v>
      </c>
      <c r="Y1047" s="21">
        <f t="shared" si="175"/>
        <v>4.6612761545374096E-2</v>
      </c>
      <c r="AA1047" s="55">
        <f t="shared" si="172"/>
        <v>112904.31000000001</v>
      </c>
      <c r="AB1047" s="55">
        <f t="shared" si="173"/>
        <v>-0.43999999994412065</v>
      </c>
      <c r="AC1047" s="55">
        <f t="shared" si="171"/>
        <v>2422175.9504657532</v>
      </c>
    </row>
    <row r="1048" spans="1:29" ht="30">
      <c r="A1048" t="s">
        <v>362</v>
      </c>
      <c r="B1048" s="16" t="str">
        <f>INDEX(emprunts!C:C,MATCH($A1048,emprunts!A:A,0))</f>
        <v>Société Générale</v>
      </c>
      <c r="C1048" s="18">
        <f>INDEX(emprunts!M:M,MATCH($A1048,emprunts!$A:$A,0))</f>
        <v>41730</v>
      </c>
      <c r="D1048" s="18">
        <f>IF(INDEX(emprunts!O:O,MATCH($A1048,emprunts!$A:$A,0))="",INDEX(emprunts!N:N,MATCH($A1048,emprunts!$A:$A,0)),MIN(INDEX(emprunts!N:N,MATCH($A1048,emprunts!$A:$A,0)),INDEX(emprunts!O:O,MATCH($A1048,emprunts!$A:$A,0))))</f>
        <v>49400</v>
      </c>
      <c r="E1048" s="52">
        <f>INDEX(emprunts!I:I,MATCH($A1048,emprunts!$A:$A,0))</f>
        <v>21</v>
      </c>
      <c r="F1048" s="18" t="str">
        <f>INDEX(emprunts!P:P,MATCH($A1048,emprunts!$A:$A,0))</f>
        <v>Fixe</v>
      </c>
      <c r="G1048" s="126" t="str">
        <f>IF(LEFT(A1048,3)="vx_","vx",INDEX(Categorie,MATCH($A1048,emprunts!$A$2:$A$149,0)))</f>
        <v>Restr_sec</v>
      </c>
      <c r="H1048">
        <v>2015</v>
      </c>
      <c r="I1048">
        <f t="shared" si="176"/>
        <v>1</v>
      </c>
      <c r="N1048"/>
      <c r="O1048" s="58">
        <v>3299475</v>
      </c>
      <c r="P1048" s="75">
        <v>4.8500000000000001E-2</v>
      </c>
      <c r="Q1048" s="58">
        <v>272542.28999999998</v>
      </c>
      <c r="R1048" s="58">
        <v>95033.02</v>
      </c>
      <c r="S1048" s="58"/>
      <c r="T1048" s="58">
        <v>13197.9</v>
      </c>
      <c r="U1048" s="58">
        <f t="shared" si="178"/>
        <v>367575.31</v>
      </c>
      <c r="V1048" s="14">
        <f t="shared" si="174"/>
        <v>0</v>
      </c>
      <c r="W1048" s="77"/>
      <c r="X1048" s="85">
        <f t="shared" si="177"/>
        <v>0</v>
      </c>
      <c r="Y1048" s="21">
        <f t="shared" si="175"/>
        <v>4.8453010968693457E-2</v>
      </c>
      <c r="AA1048" s="55">
        <f t="shared" si="172"/>
        <v>161727.51</v>
      </c>
      <c r="AB1048" s="55">
        <f t="shared" si="173"/>
        <v>2.0000000018626451E-2</v>
      </c>
      <c r="AC1048" s="55">
        <f t="shared" si="171"/>
        <v>3337821.670246575</v>
      </c>
    </row>
    <row r="1049" spans="1:29">
      <c r="A1049" t="s">
        <v>363</v>
      </c>
      <c r="B1049" s="16" t="str">
        <f>INDEX(emprunts!C:C,MATCH($A1049,emprunts!A:A,0))</f>
        <v>Dexia CL</v>
      </c>
      <c r="C1049" s="18">
        <f>INDEX(emprunts!M:M,MATCH($A1049,emprunts!$A:$A,0))</f>
        <v>41760</v>
      </c>
      <c r="D1049" s="18">
        <f>IF(INDEX(emprunts!O:O,MATCH($A1049,emprunts!$A:$A,0))="",INDEX(emprunts!N:N,MATCH($A1049,emprunts!$A:$A,0)),MIN(INDEX(emprunts!N:N,MATCH($A1049,emprunts!$A:$A,0)),INDEX(emprunts!O:O,MATCH($A1049,emprunts!$A:$A,0))))</f>
        <v>47239</v>
      </c>
      <c r="E1049" s="52">
        <f>INDEX(emprunts!I:I,MATCH($A1049,emprunts!$A:$A,0))</f>
        <v>15</v>
      </c>
      <c r="F1049" s="18" t="str">
        <f>INDEX(emprunts!P:P,MATCH($A1049,emprunts!$A:$A,0))</f>
        <v>Fixe</v>
      </c>
      <c r="G1049" s="126" t="str">
        <f>IF(LEFT(A1049,3)="vx_","vx",INDEX(Categorie,MATCH($A1049,emprunts!$A$2:$A$149,0)))</f>
        <v>Non_st</v>
      </c>
      <c r="H1049">
        <v>2015</v>
      </c>
      <c r="I1049">
        <f t="shared" si="176"/>
        <v>1</v>
      </c>
      <c r="N1049"/>
      <c r="O1049" s="58">
        <v>5721946</v>
      </c>
      <c r="P1049" s="75">
        <v>0.04</v>
      </c>
      <c r="Q1049" s="58">
        <v>240900</v>
      </c>
      <c r="R1049" s="58">
        <v>278053.73</v>
      </c>
      <c r="S1049" s="58"/>
      <c r="T1049" s="58">
        <v>153577.04</v>
      </c>
      <c r="U1049" s="58">
        <f t="shared" si="178"/>
        <v>518953.73</v>
      </c>
      <c r="V1049" s="14">
        <f t="shared" si="174"/>
        <v>0</v>
      </c>
      <c r="W1049" s="77"/>
      <c r="X1049" s="85">
        <f t="shared" si="177"/>
        <v>0</v>
      </c>
      <c r="Y1049" s="21">
        <f t="shared" si="175"/>
        <v>3.9938480511878392E-2</v>
      </c>
      <c r="AA1049" s="55">
        <f t="shared" si="172"/>
        <v>233437.04000000004</v>
      </c>
      <c r="AB1049" s="55">
        <f t="shared" si="173"/>
        <v>-0.26999999955296516</v>
      </c>
      <c r="AC1049" s="55">
        <f t="shared" si="171"/>
        <v>5844915.4050958911</v>
      </c>
    </row>
    <row r="1050" spans="1:29" ht="30">
      <c r="A1050" t="s">
        <v>364</v>
      </c>
      <c r="B1050" s="16" t="str">
        <f>INDEX(emprunts!C:C,MATCH($A1050,emprunts!A:A,0))</f>
        <v>Dexia CL</v>
      </c>
      <c r="C1050" s="18">
        <f>INDEX(emprunts!M:M,MATCH($A1050,emprunts!$A:$A,0))</f>
        <v>41760</v>
      </c>
      <c r="D1050" s="18">
        <f>IF(INDEX(emprunts!O:O,MATCH($A1050,emprunts!$A:$A,0))="",INDEX(emprunts!N:N,MATCH($A1050,emprunts!$A:$A,0)),MIN(INDEX(emprunts!N:N,MATCH($A1050,emprunts!$A:$A,0)),INDEX(emprunts!O:O,MATCH($A1050,emprunts!$A:$A,0))))</f>
        <v>49796</v>
      </c>
      <c r="E1050" s="52">
        <f>INDEX(emprunts!I:I,MATCH($A1050,emprunts!$A:$A,0))</f>
        <v>22</v>
      </c>
      <c r="F1050" s="18" t="str">
        <f>INDEX(emprunts!P:P,MATCH($A1050,emprunts!$A:$A,0))</f>
        <v>Fixe</v>
      </c>
      <c r="G1050" s="126" t="str">
        <f>IF(LEFT(A1050,3)="vx_","vx",INDEX(Categorie,MATCH($A1050,emprunts!$A$2:$A$149,0)))</f>
        <v>Restr_aidé</v>
      </c>
      <c r="H1050">
        <v>2015</v>
      </c>
      <c r="I1050">
        <f t="shared" si="176"/>
        <v>1</v>
      </c>
      <c r="N1050"/>
      <c r="O1050" s="58">
        <v>36263209</v>
      </c>
      <c r="P1050" s="75">
        <v>4.7199999999999999E-2</v>
      </c>
      <c r="Q1050" s="58">
        <v>1776264.93</v>
      </c>
      <c r="R1050" s="58">
        <v>1251406.26</v>
      </c>
      <c r="S1050" s="58"/>
      <c r="T1050" s="58">
        <v>1147811.1499999999</v>
      </c>
      <c r="U1050" s="58">
        <f t="shared" si="178"/>
        <v>3027671.19</v>
      </c>
      <c r="V1050" s="14">
        <f t="shared" si="174"/>
        <v>0</v>
      </c>
      <c r="W1050" s="77"/>
      <c r="X1050" s="85">
        <f t="shared" si="177"/>
        <v>0</v>
      </c>
      <c r="Y1050" s="21">
        <f t="shared" si="175"/>
        <v>4.7207306208094345E-2</v>
      </c>
      <c r="AA1050" s="55">
        <f t="shared" si="172"/>
        <v>1736655.1400000001</v>
      </c>
      <c r="AB1050" s="55">
        <f t="shared" si="173"/>
        <v>0.25999999791383743</v>
      </c>
      <c r="AC1050" s="55">
        <f t="shared" si="171"/>
        <v>36787846.617315069</v>
      </c>
    </row>
    <row r="1051" spans="1:29">
      <c r="A1051" t="s">
        <v>365</v>
      </c>
      <c r="B1051" s="16" t="str">
        <f>INDEX(emprunts!C:C,MATCH($A1051,emprunts!A:A,0))</f>
        <v>Société Générale</v>
      </c>
      <c r="C1051" s="18">
        <f>INDEX(emprunts!M:M,MATCH($A1051,emprunts!$A:$A,0))</f>
        <v>41820</v>
      </c>
      <c r="D1051" s="18">
        <f>IF(INDEX(emprunts!O:O,MATCH($A1051,emprunts!$A:$A,0))="",INDEX(emprunts!N:N,MATCH($A1051,emprunts!$A:$A,0)),MIN(INDEX(emprunts!N:N,MATCH($A1051,emprunts!$A:$A,0)),INDEX(emprunts!O:O,MATCH($A1051,emprunts!$A:$A,0))))</f>
        <v>49460</v>
      </c>
      <c r="E1051" s="52">
        <f>INDEX(emprunts!I:I,MATCH($A1051,emprunts!$A:$A,0))</f>
        <v>20</v>
      </c>
      <c r="F1051" s="18" t="str">
        <f>INDEX(emprunts!P:P,MATCH($A1051,emprunts!$A:$A,0))</f>
        <v>Variable</v>
      </c>
      <c r="G1051" s="126" t="str">
        <f>IF(LEFT(A1051,3)="vx_","vx",INDEX(Categorie,MATCH($A1051,emprunts!$A$2:$A$149,0)))</f>
        <v>Non_st</v>
      </c>
      <c r="H1051">
        <v>2015</v>
      </c>
      <c r="I1051">
        <f t="shared" si="176"/>
        <v>1</v>
      </c>
      <c r="N1051"/>
      <c r="O1051" s="58">
        <v>4875000</v>
      </c>
      <c r="P1051" s="75">
        <v>1.8200000000000001E-2</v>
      </c>
      <c r="Q1051" s="58">
        <v>46120.27</v>
      </c>
      <c r="R1051" s="58">
        <v>125000</v>
      </c>
      <c r="S1051" s="58"/>
      <c r="T1051" s="58">
        <v>14316.25</v>
      </c>
      <c r="U1051" s="58">
        <f t="shared" si="178"/>
        <v>171120.27</v>
      </c>
      <c r="V1051" s="14">
        <f t="shared" si="174"/>
        <v>0</v>
      </c>
      <c r="W1051" s="77"/>
      <c r="X1051" s="85">
        <f t="shared" si="177"/>
        <v>0</v>
      </c>
      <c r="Y1051" s="21">
        <f t="shared" si="175"/>
        <v>1.227393506746418E-2</v>
      </c>
      <c r="AA1051" s="55">
        <f t="shared" si="172"/>
        <v>60436.52</v>
      </c>
      <c r="AB1051" s="55">
        <f t="shared" si="173"/>
        <v>5000000</v>
      </c>
      <c r="AC1051" s="55">
        <f t="shared" si="171"/>
        <v>4923972.6027397262</v>
      </c>
    </row>
    <row r="1052" spans="1:29">
      <c r="A1052" t="s">
        <v>366</v>
      </c>
      <c r="B1052" s="16" t="str">
        <f>INDEX(emprunts!C:C,MATCH($A1052,emprunts!A:A,0))</f>
        <v>Caisse d'Épargne</v>
      </c>
      <c r="C1052" s="18">
        <f>INDEX(emprunts!M:M,MATCH($A1052,emprunts!$A:$A,0))</f>
        <v>41912</v>
      </c>
      <c r="D1052" s="18">
        <f>IF(INDEX(emprunts!O:O,MATCH($A1052,emprunts!$A:$A,0))="",INDEX(emprunts!N:N,MATCH($A1052,emprunts!$A:$A,0)),MIN(INDEX(emprunts!N:N,MATCH($A1052,emprunts!$A:$A,0)),INDEX(emprunts!O:O,MATCH($A1052,emprunts!$A:$A,0))))</f>
        <v>49217</v>
      </c>
      <c r="E1052" s="52">
        <f>INDEX(emprunts!I:I,MATCH($A1052,emprunts!$A:$A,0))</f>
        <v>20</v>
      </c>
      <c r="F1052" s="18" t="str">
        <f>INDEX(emprunts!P:P,MATCH($A1052,emprunts!$A:$A,0))</f>
        <v>Fixe</v>
      </c>
      <c r="G1052" s="126" t="str">
        <f>IF(LEFT(A1052,3)="vx_","vx",INDEX(Categorie,MATCH($A1052,emprunts!$A$2:$A$149,0)))</f>
        <v>Non_st</v>
      </c>
      <c r="H1052">
        <v>2015</v>
      </c>
      <c r="I1052">
        <f t="shared" si="176"/>
        <v>1</v>
      </c>
      <c r="N1052"/>
      <c r="O1052" s="58">
        <v>9500000</v>
      </c>
      <c r="P1052" s="75">
        <v>4.3999999999999997E-2</v>
      </c>
      <c r="Q1052" s="58">
        <v>441041.67</v>
      </c>
      <c r="R1052" s="58">
        <v>500000</v>
      </c>
      <c r="S1052" s="58"/>
      <c r="T1052" s="58">
        <v>105608.33</v>
      </c>
      <c r="U1052" s="58">
        <f t="shared" si="178"/>
        <v>941041.66999999993</v>
      </c>
      <c r="V1052" s="14">
        <f t="shared" si="174"/>
        <v>0</v>
      </c>
      <c r="W1052" s="77"/>
      <c r="X1052" s="85">
        <f t="shared" si="177"/>
        <v>0</v>
      </c>
      <c r="Y1052" s="21">
        <f t="shared" si="175"/>
        <v>4.478766284868977E-2</v>
      </c>
      <c r="AA1052" s="55">
        <f t="shared" si="172"/>
        <v>435483.33</v>
      </c>
      <c r="AB1052" s="55">
        <f t="shared" si="173"/>
        <v>0</v>
      </c>
      <c r="AC1052" s="55">
        <f t="shared" si="171"/>
        <v>9723287.6712328773</v>
      </c>
    </row>
    <row r="1053" spans="1:29">
      <c r="A1053" t="s">
        <v>367</v>
      </c>
      <c r="B1053" s="16" t="str">
        <f>INDEX(emprunts!C:C,MATCH($A1053,emprunts!A:A,0))</f>
        <v>Caisse d'Épargne</v>
      </c>
      <c r="C1053" s="18">
        <f>INDEX(emprunts!M:M,MATCH($A1053,emprunts!$A:$A,0))</f>
        <v>42004</v>
      </c>
      <c r="D1053" s="18">
        <f>IF(INDEX(emprunts!O:O,MATCH($A1053,emprunts!$A:$A,0))="",INDEX(emprunts!N:N,MATCH($A1053,emprunts!$A:$A,0)),MIN(INDEX(emprunts!N:N,MATCH($A1053,emprunts!$A:$A,0)),INDEX(emprunts!O:O,MATCH($A1053,emprunts!$A:$A,0))))</f>
        <v>49309</v>
      </c>
      <c r="E1053" s="52">
        <f>INDEX(emprunts!I:I,MATCH($A1053,emprunts!$A:$A,0))</f>
        <v>20</v>
      </c>
      <c r="F1053" s="18" t="str">
        <f>INDEX(emprunts!P:P,MATCH($A1053,emprunts!$A:$A,0))</f>
        <v>Fixe</v>
      </c>
      <c r="G1053" s="126" t="str">
        <f>IF(LEFT(A1053,3)="vx_","vx",INDEX(Categorie,MATCH($A1053,emprunts!$A$2:$A$149,0)))</f>
        <v>Non_st</v>
      </c>
      <c r="H1053">
        <v>2015</v>
      </c>
      <c r="I1053">
        <f t="shared" si="176"/>
        <v>1</v>
      </c>
      <c r="N1053"/>
      <c r="O1053" s="58">
        <v>9500000</v>
      </c>
      <c r="P1053" s="75">
        <v>4.2299999999999997E-2</v>
      </c>
      <c r="Q1053" s="58">
        <v>423805.56</v>
      </c>
      <c r="R1053" s="58">
        <v>500000</v>
      </c>
      <c r="S1053" s="58"/>
      <c r="T1053" s="58">
        <v>0</v>
      </c>
      <c r="U1053" s="58">
        <f t="shared" si="178"/>
        <v>923805.56</v>
      </c>
      <c r="V1053" s="14">
        <f t="shared" si="174"/>
        <v>0</v>
      </c>
      <c r="W1053" s="77"/>
      <c r="X1053" s="85">
        <f t="shared" si="177"/>
        <v>0</v>
      </c>
      <c r="Y1053" s="21">
        <f t="shared" si="175"/>
        <v>4.3586652409129331E-2</v>
      </c>
      <c r="AA1053" s="55">
        <f t="shared" si="172"/>
        <v>423805.56</v>
      </c>
      <c r="AB1053" s="55">
        <f t="shared" si="173"/>
        <v>0</v>
      </c>
      <c r="AC1053" s="55">
        <f t="shared" ref="AC1053:AC1109" si="179">MAX(0,(C1053-DATE(H1053,1,1))/365)*0+MAX(0,MIN(1,(MIN(DATE(H1053,12,31),D1053)-MAX(DATE(H1053,1,1),C1053))/365))*(O1053+X1053+R1053/2)</f>
        <v>9723287.6712328773</v>
      </c>
    </row>
    <row r="1054" spans="1:29">
      <c r="A1054" t="s">
        <v>368</v>
      </c>
      <c r="B1054" s="16" t="str">
        <f>INDEX(emprunts!C:C,MATCH($A1054,emprunts!A:A,0))</f>
        <v>Crédit Foncier</v>
      </c>
      <c r="C1054" s="18">
        <f>INDEX(emprunts!M:M,MATCH($A1054,emprunts!$A:$A,0))</f>
        <v>42048</v>
      </c>
      <c r="D1054" s="18">
        <f>IF(INDEX(emprunts!O:O,MATCH($A1054,emprunts!$A:$A,0))="",INDEX(emprunts!N:N,MATCH($A1054,emprunts!$A:$A,0)),MIN(INDEX(emprunts!N:N,MATCH($A1054,emprunts!$A:$A,0)),INDEX(emprunts!O:O,MATCH($A1054,emprunts!$A:$A,0))))</f>
        <v>47527</v>
      </c>
      <c r="E1054" s="52">
        <f>INDEX(emprunts!I:I,MATCH($A1054,emprunts!$A:$A,0))</f>
        <v>15</v>
      </c>
      <c r="F1054" s="18" t="str">
        <f>INDEX(emprunts!P:P,MATCH($A1054,emprunts!$A:$A,0))</f>
        <v>Fixe</v>
      </c>
      <c r="G1054" s="126" t="str">
        <f>IF(LEFT(A1054,3)="vx_","vx",INDEX(Categorie,MATCH($A1054,emprunts!$A$2:$A$149,0)))</f>
        <v>Non_st</v>
      </c>
      <c r="H1054">
        <v>2015</v>
      </c>
      <c r="I1054">
        <f t="shared" si="176"/>
        <v>1</v>
      </c>
      <c r="N1054"/>
      <c r="O1054" s="58">
        <v>5000000</v>
      </c>
      <c r="P1054" s="75">
        <v>3.7100000000000001E-2</v>
      </c>
      <c r="Q1054" s="58">
        <v>0</v>
      </c>
      <c r="R1054" s="58">
        <v>0</v>
      </c>
      <c r="S1054" s="58"/>
      <c r="T1054" s="58">
        <v>163578.07999999999</v>
      </c>
      <c r="U1054" s="58">
        <f t="shared" si="178"/>
        <v>0</v>
      </c>
      <c r="V1054" s="14">
        <f t="shared" si="174"/>
        <v>0</v>
      </c>
      <c r="W1054" s="77"/>
      <c r="X1054" s="85">
        <f t="shared" si="177"/>
        <v>0</v>
      </c>
      <c r="Y1054" s="21">
        <f t="shared" si="175"/>
        <v>3.7199999501557633E-2</v>
      </c>
      <c r="AA1054" s="55">
        <f t="shared" si="172"/>
        <v>163578.07999999999</v>
      </c>
      <c r="AB1054" s="55" t="str">
        <f t="shared" si="173"/>
        <v/>
      </c>
      <c r="AC1054" s="55">
        <f t="shared" si="179"/>
        <v>4397260.2739726026</v>
      </c>
    </row>
    <row r="1055" spans="1:29" ht="30">
      <c r="A1055" s="1" t="s">
        <v>525</v>
      </c>
      <c r="B1055" s="16" t="str">
        <f>INDEX(emprunts!C:C,MATCH($A1055,emprunts!A:A,0))</f>
        <v>Dexia CL</v>
      </c>
      <c r="C1055" s="18">
        <f>INDEX(emprunts!M:M,MATCH($A1055,emprunts!$A:$A,0))</f>
        <v>42125</v>
      </c>
      <c r="D1055" s="18">
        <f>IF(INDEX(emprunts!O:O,MATCH($A1055,emprunts!$A:$A,0))="",INDEX(emprunts!N:N,MATCH($A1055,emprunts!$A:$A,0)),MIN(INDEX(emprunts!N:N,MATCH($A1055,emprunts!$A:$A,0)),INDEX(emprunts!O:O,MATCH($A1055,emprunts!$A:$A,0))))</f>
        <v>49430</v>
      </c>
      <c r="E1055" s="52">
        <f>INDEX(emprunts!I:I,MATCH($A1055,emprunts!$A:$A,0))</f>
        <v>20</v>
      </c>
      <c r="F1055" s="18" t="str">
        <f>INDEX(emprunts!P:P,MATCH($A1055,emprunts!$A:$A,0))</f>
        <v>Fixe</v>
      </c>
      <c r="G1055" s="126" t="str">
        <f>IF(LEFT(A1055,3)="vx_","vx",INDEX(Categorie,MATCH($A1055,emprunts!$A$2:$A$149,0)))</f>
        <v>Restr_aidé</v>
      </c>
      <c r="H1055">
        <v>2015</v>
      </c>
      <c r="I1055">
        <f t="shared" si="176"/>
        <v>1</v>
      </c>
      <c r="N1055"/>
      <c r="O1055" s="58">
        <v>17761140</v>
      </c>
      <c r="P1055" s="75">
        <v>3.5000000000000003E-2</v>
      </c>
      <c r="Q1055" s="58">
        <v>0</v>
      </c>
      <c r="R1055" s="58">
        <v>0</v>
      </c>
      <c r="S1055" s="58"/>
      <c r="T1055" s="58">
        <v>416518.47</v>
      </c>
      <c r="U1055" s="58">
        <f t="shared" si="178"/>
        <v>0</v>
      </c>
      <c r="V1055" s="14">
        <f t="shared" si="174"/>
        <v>0</v>
      </c>
      <c r="W1055" s="77"/>
      <c r="X1055" s="85">
        <f t="shared" si="177"/>
        <v>0</v>
      </c>
      <c r="Y1055" s="21">
        <f t="shared" si="175"/>
        <v>3.5080555757691444E-2</v>
      </c>
      <c r="AA1055" s="55">
        <f t="shared" si="172"/>
        <v>416518.47</v>
      </c>
      <c r="AB1055" s="55" t="str">
        <f t="shared" si="173"/>
        <v/>
      </c>
      <c r="AC1055" s="55">
        <f t="shared" si="179"/>
        <v>11873200.438356165</v>
      </c>
    </row>
    <row r="1056" spans="1:29" ht="30">
      <c r="A1056" t="s">
        <v>369</v>
      </c>
      <c r="B1056" s="16" t="str">
        <f>INDEX(emprunts!C:C,MATCH($A1056,emprunts!A:A,0))</f>
        <v>Dexia CL</v>
      </c>
      <c r="C1056" s="18">
        <f>INDEX(emprunts!M:M,MATCH($A1056,emprunts!$A:$A,0))</f>
        <v>42339</v>
      </c>
      <c r="D1056" s="18">
        <f>IF(INDEX(emprunts!O:O,MATCH($A1056,emprunts!$A:$A,0))="",INDEX(emprunts!N:N,MATCH($A1056,emprunts!$A:$A,0)),MIN(INDEX(emprunts!N:N,MATCH($A1056,emprunts!$A:$A,0)),INDEX(emprunts!O:O,MATCH($A1056,emprunts!$A:$A,0))))</f>
        <v>51471</v>
      </c>
      <c r="E1056" s="52">
        <f>INDEX(emprunts!I:I,MATCH($A1056,emprunts!$A:$A,0))</f>
        <v>25</v>
      </c>
      <c r="F1056" s="18" t="str">
        <f>INDEX(emprunts!P:P,MATCH($A1056,emprunts!$A:$A,0))</f>
        <v>Fixe</v>
      </c>
      <c r="G1056" s="126" t="str">
        <f>IF(LEFT(A1056,3)="vx_","vx",INDEX(Categorie,MATCH($A1056,emprunts!$A$2:$A$149,0)))</f>
        <v>Restr_sec</v>
      </c>
      <c r="H1056">
        <v>2015</v>
      </c>
      <c r="I1056">
        <f t="shared" si="176"/>
        <v>1</v>
      </c>
      <c r="N1056"/>
      <c r="O1056" s="58">
        <v>9000000</v>
      </c>
      <c r="P1056" s="75">
        <v>3.27E-2</v>
      </c>
      <c r="Q1056" s="58">
        <v>0</v>
      </c>
      <c r="R1056" s="58">
        <v>0</v>
      </c>
      <c r="S1056" s="58"/>
      <c r="T1056" s="58">
        <v>24225</v>
      </c>
      <c r="U1056" s="58">
        <f t="shared" si="178"/>
        <v>0</v>
      </c>
      <c r="V1056" s="14">
        <f t="shared" si="174"/>
        <v>0</v>
      </c>
      <c r="W1056" s="77"/>
      <c r="X1056" s="85">
        <f t="shared" si="177"/>
        <v>0</v>
      </c>
      <c r="Y1056" s="21">
        <f t="shared" si="175"/>
        <v>3.2748611111111117E-2</v>
      </c>
      <c r="AA1056" s="55">
        <f t="shared" si="172"/>
        <v>24225</v>
      </c>
      <c r="AB1056" s="55" t="str">
        <f t="shared" si="173"/>
        <v/>
      </c>
      <c r="AC1056" s="55">
        <f t="shared" si="179"/>
        <v>739726.02739726019</v>
      </c>
    </row>
    <row r="1057" spans="1:29">
      <c r="A1057" t="s">
        <v>370</v>
      </c>
      <c r="B1057" s="16" t="str">
        <f>INDEX(emprunts!C:C,MATCH($A1057,emprunts!A:A,0))</f>
        <v>CDC</v>
      </c>
      <c r="C1057" s="18">
        <f>INDEX(emprunts!M:M,MATCH($A1057,emprunts!$A:$A,0))</f>
        <v>42370</v>
      </c>
      <c r="D1057" s="18">
        <f>IF(INDEX(emprunts!O:O,MATCH($A1057,emprunts!$A:$A,0))="",INDEX(emprunts!N:N,MATCH($A1057,emprunts!$A:$A,0)),MIN(INDEX(emprunts!N:N,MATCH($A1057,emprunts!$A:$A,0)),INDEX(emprunts!O:O,MATCH($A1057,emprunts!$A:$A,0))))</f>
        <v>47849</v>
      </c>
      <c r="E1057" s="52">
        <f>INDEX(emprunts!I:I,MATCH($A1057,emprunts!$A:$A,0))</f>
        <v>15</v>
      </c>
      <c r="F1057" s="18" t="str">
        <f>INDEX(emprunts!P:P,MATCH($A1057,emprunts!$A:$A,0))</f>
        <v>Livret A</v>
      </c>
      <c r="G1057" s="126" t="str">
        <f>IF(LEFT(A1057,3)="vx_","vx",INDEX(Categorie,MATCH($A1057,emprunts!$A$2:$A$149,0)))</f>
        <v>Livr_A</v>
      </c>
      <c r="H1057">
        <v>2015</v>
      </c>
      <c r="I1057">
        <f t="shared" si="176"/>
        <v>0</v>
      </c>
      <c r="N1057"/>
      <c r="O1057" s="58"/>
      <c r="V1057" s="14" t="str">
        <f t="shared" si="174"/>
        <v/>
      </c>
      <c r="X1057" s="85">
        <f t="shared" si="177"/>
        <v>0</v>
      </c>
      <c r="Y1057" s="21" t="str">
        <f t="shared" si="175"/>
        <v/>
      </c>
      <c r="AA1057" s="55">
        <f t="shared" si="172"/>
        <v>0</v>
      </c>
      <c r="AB1057" s="55">
        <f t="shared" si="173"/>
        <v>0</v>
      </c>
      <c r="AC1057" s="55">
        <f t="shared" si="179"/>
        <v>0</v>
      </c>
    </row>
    <row r="1058" spans="1:29">
      <c r="A1058" t="s">
        <v>371</v>
      </c>
      <c r="B1058" s="16" t="str">
        <f>INDEX(emprunts!C:C,MATCH($A1058,emprunts!A:A,0))</f>
        <v>Arkea</v>
      </c>
      <c r="C1058" s="18">
        <f>INDEX(emprunts!M:M,MATCH($A1058,emprunts!$A:$A,0))</f>
        <v>42408</v>
      </c>
      <c r="D1058" s="18">
        <f>IF(INDEX(emprunts!O:O,MATCH($A1058,emprunts!$A:$A,0))="",INDEX(emprunts!N:N,MATCH($A1058,emprunts!$A:$A,0)),MIN(INDEX(emprunts!N:N,MATCH($A1058,emprunts!$A:$A,0)),INDEX(emprunts!O:O,MATCH($A1058,emprunts!$A:$A,0))))</f>
        <v>49704</v>
      </c>
      <c r="E1058" s="52">
        <f>INDEX(emprunts!I:I,MATCH($A1058,emprunts!$A:$A,0))</f>
        <v>20</v>
      </c>
      <c r="F1058" s="18" t="str">
        <f>INDEX(emprunts!P:P,MATCH($A1058,emprunts!$A:$A,0))</f>
        <v>Fixe</v>
      </c>
      <c r="G1058" s="126" t="str">
        <f>IF(LEFT(A1058,3)="vx_","vx",INDEX(Categorie,MATCH($A1058,emprunts!$A$2:$A$149,0)))</f>
        <v>Non_st</v>
      </c>
      <c r="H1058">
        <v>2015</v>
      </c>
      <c r="I1058">
        <f t="shared" si="176"/>
        <v>0</v>
      </c>
      <c r="N1058"/>
      <c r="O1058" s="58"/>
      <c r="V1058" s="14" t="str">
        <f t="shared" si="174"/>
        <v/>
      </c>
      <c r="X1058" s="85">
        <f t="shared" si="177"/>
        <v>0</v>
      </c>
      <c r="Y1058" s="21" t="str">
        <f t="shared" si="175"/>
        <v/>
      </c>
      <c r="AA1058" s="55">
        <f t="shared" si="172"/>
        <v>0</v>
      </c>
      <c r="AB1058" s="55">
        <f t="shared" si="173"/>
        <v>0</v>
      </c>
      <c r="AC1058" s="55">
        <f t="shared" si="179"/>
        <v>0</v>
      </c>
    </row>
    <row r="1059" spans="1:29" ht="30">
      <c r="A1059" s="1" t="s">
        <v>488</v>
      </c>
      <c r="B1059" s="16" t="str">
        <f>INDEX(emprunts!C:C,MATCH($A1059,emprunts!A:A,0))</f>
        <v>Dexia CL</v>
      </c>
      <c r="C1059" s="18">
        <f>INDEX(emprunts!M:M,MATCH($A1059,emprunts!$A:$A,0))</f>
        <v>42644</v>
      </c>
      <c r="D1059" s="18">
        <f>IF(INDEX(emprunts!O:O,MATCH($A1059,emprunts!$A:$A,0))="",INDEX(emprunts!N:N,MATCH($A1059,emprunts!$A:$A,0)),MIN(INDEX(emprunts!N:N,MATCH($A1059,emprunts!$A:$A,0)),INDEX(emprunts!O:O,MATCH($A1059,emprunts!$A:$A,0))))</f>
        <v>49857</v>
      </c>
      <c r="E1059" s="52">
        <f>INDEX(emprunts!I:I,MATCH($A1059,emprunts!$A:$A,0))</f>
        <v>19.75</v>
      </c>
      <c r="F1059" s="18" t="str">
        <f>INDEX(emprunts!P:P,MATCH($A1059,emprunts!$A:$A,0))</f>
        <v>Fixe</v>
      </c>
      <c r="G1059" s="126" t="str">
        <f>IF(LEFT(A1059,3)="vx_","vx",INDEX(Categorie,MATCH($A1059,emprunts!$A$2:$A$149,0)))</f>
        <v>Restr_aidé</v>
      </c>
      <c r="H1059">
        <v>2015</v>
      </c>
      <c r="I1059">
        <f t="shared" si="176"/>
        <v>0</v>
      </c>
      <c r="N1059" s="58"/>
      <c r="O1059" s="58"/>
      <c r="V1059" s="14" t="str">
        <f t="shared" si="174"/>
        <v/>
      </c>
      <c r="X1059" s="85">
        <f t="shared" si="177"/>
        <v>0</v>
      </c>
      <c r="Y1059" s="21" t="str">
        <f t="shared" si="175"/>
        <v/>
      </c>
      <c r="AA1059" s="55">
        <f t="shared" si="172"/>
        <v>0</v>
      </c>
      <c r="AB1059" s="55">
        <f t="shared" si="173"/>
        <v>0</v>
      </c>
      <c r="AC1059" s="55">
        <f t="shared" si="179"/>
        <v>0</v>
      </c>
    </row>
    <row r="1060" spans="1:29">
      <c r="A1060" s="1" t="s">
        <v>524</v>
      </c>
      <c r="B1060" s="16" t="str">
        <f>INDEX(emprunts!C:C,MATCH($A1060,emprunts!A:A,0))</f>
        <v>Dexia CL</v>
      </c>
      <c r="C1060" s="18">
        <f>INDEX(emprunts!M:M,MATCH($A1060,emprunts!$A:$A,0))</f>
        <v>42644</v>
      </c>
      <c r="D1060" s="18">
        <f>IF(INDEX(emprunts!O:O,MATCH($A1060,emprunts!$A:$A,0))="",INDEX(emprunts!N:N,MATCH($A1060,emprunts!$A:$A,0)),MIN(INDEX(emprunts!N:N,MATCH($A1060,emprunts!$A:$A,0)),INDEX(emprunts!O:O,MATCH($A1060,emprunts!$A:$A,0))))</f>
        <v>49857</v>
      </c>
      <c r="E1060" s="52">
        <f>INDEX(emprunts!I:I,MATCH($A1060,emprunts!$A:$A,0))</f>
        <v>19.75</v>
      </c>
      <c r="F1060" s="18" t="str">
        <f>INDEX(emprunts!P:P,MATCH($A1060,emprunts!$A:$A,0))</f>
        <v>Fixe</v>
      </c>
      <c r="G1060" s="126" t="str">
        <f>IF(LEFT(A1060,3)="vx_","vx",INDEX(Categorie,MATCH($A1060,emprunts!$A$2:$A$149,0)))</f>
        <v>Non_st</v>
      </c>
      <c r="H1060">
        <v>2015</v>
      </c>
      <c r="I1060">
        <f t="shared" si="176"/>
        <v>0</v>
      </c>
      <c r="N1060" s="58"/>
      <c r="O1060" s="58"/>
      <c r="V1060" s="14" t="str">
        <f t="shared" si="174"/>
        <v/>
      </c>
      <c r="X1060" s="85">
        <f t="shared" si="177"/>
        <v>0</v>
      </c>
      <c r="Y1060" s="21" t="str">
        <f t="shared" si="175"/>
        <v/>
      </c>
      <c r="AA1060" s="55">
        <f t="shared" si="172"/>
        <v>0</v>
      </c>
      <c r="AB1060" s="55">
        <f t="shared" si="173"/>
        <v>0</v>
      </c>
      <c r="AC1060" s="55">
        <f t="shared" si="179"/>
        <v>0</v>
      </c>
    </row>
    <row r="1061" spans="1:29" ht="30">
      <c r="A1061" s="1" t="s">
        <v>494</v>
      </c>
      <c r="B1061" s="16" t="str">
        <f>INDEX(emprunts!C:C,MATCH($A1061,emprunts!A:A,0))</f>
        <v>Dexia CL</v>
      </c>
      <c r="C1061" s="18">
        <f>INDEX(emprunts!M:M,MATCH($A1061,emprunts!$A:$A,0))</f>
        <v>42675</v>
      </c>
      <c r="D1061" s="18">
        <f>IF(INDEX(emprunts!O:O,MATCH($A1061,emprunts!$A:$A,0))="",INDEX(emprunts!N:N,MATCH($A1061,emprunts!$A:$A,0)),MIN(INDEX(emprunts!N:N,MATCH($A1061,emprunts!$A:$A,0)),INDEX(emprunts!O:O,MATCH($A1061,emprunts!$A:$A,0))))</f>
        <v>49644</v>
      </c>
      <c r="E1061" s="52">
        <f>INDEX(emprunts!I:I,MATCH($A1061,emprunts!$A:$A,0))</f>
        <v>19.079999999999998</v>
      </c>
      <c r="F1061" s="18" t="str">
        <f>INDEX(emprunts!P:P,MATCH($A1061,emprunts!$A:$A,0))</f>
        <v>Fixe</v>
      </c>
      <c r="G1061" s="126" t="str">
        <f>IF(LEFT(A1061,3)="vx_","vx",INDEX(Categorie,MATCH($A1061,emprunts!$A$2:$A$149,0)))</f>
        <v>Restr_aidé</v>
      </c>
      <c r="H1061">
        <v>2015</v>
      </c>
      <c r="I1061">
        <f t="shared" si="176"/>
        <v>0</v>
      </c>
      <c r="N1061"/>
      <c r="O1061" s="58"/>
      <c r="V1061" s="14" t="str">
        <f t="shared" si="174"/>
        <v/>
      </c>
      <c r="X1061" s="85">
        <f t="shared" si="177"/>
        <v>0</v>
      </c>
      <c r="Y1061" s="21" t="str">
        <f t="shared" si="175"/>
        <v/>
      </c>
      <c r="AA1061" s="55">
        <f t="shared" si="172"/>
        <v>0</v>
      </c>
      <c r="AB1061" s="55">
        <f t="shared" si="173"/>
        <v>0</v>
      </c>
      <c r="AC1061" s="55">
        <f t="shared" si="179"/>
        <v>0</v>
      </c>
    </row>
    <row r="1062" spans="1:29">
      <c r="A1062" s="1" t="s">
        <v>523</v>
      </c>
      <c r="B1062" s="16" t="str">
        <f>INDEX(emprunts!C:C,MATCH($A1062,emprunts!A:A,0))</f>
        <v>Dexia CL</v>
      </c>
      <c r="C1062" s="18">
        <f>INDEX(emprunts!M:M,MATCH($A1062,emprunts!$A:$A,0))</f>
        <v>42675</v>
      </c>
      <c r="D1062" s="18">
        <f>IF(INDEX(emprunts!O:O,MATCH($A1062,emprunts!$A:$A,0))="",INDEX(emprunts!N:N,MATCH($A1062,emprunts!$A:$A,0)),MIN(INDEX(emprunts!N:N,MATCH($A1062,emprunts!$A:$A,0)),INDEX(emprunts!O:O,MATCH($A1062,emprunts!$A:$A,0))))</f>
        <v>49614</v>
      </c>
      <c r="E1062" s="52">
        <f>INDEX(emprunts!I:I,MATCH($A1062,emprunts!$A:$A,0))</f>
        <v>19</v>
      </c>
      <c r="F1062" s="18" t="str">
        <f>INDEX(emprunts!P:P,MATCH($A1062,emprunts!$A:$A,0))</f>
        <v>Fixe</v>
      </c>
      <c r="G1062" s="126" t="str">
        <f>IF(LEFT(A1062,3)="vx_","vx",INDEX(Categorie,MATCH($A1062,emprunts!$A$2:$A$149,0)))</f>
        <v>Non_st</v>
      </c>
      <c r="H1062">
        <v>2015</v>
      </c>
      <c r="I1062">
        <f t="shared" si="176"/>
        <v>0</v>
      </c>
      <c r="N1062"/>
      <c r="O1062" s="58"/>
      <c r="V1062" s="14" t="str">
        <f t="shared" si="174"/>
        <v/>
      </c>
      <c r="X1062" s="85">
        <f t="shared" si="177"/>
        <v>0</v>
      </c>
      <c r="Y1062" s="21" t="str">
        <f t="shared" si="175"/>
        <v/>
      </c>
      <c r="AA1062" s="55">
        <f t="shared" si="172"/>
        <v>0</v>
      </c>
      <c r="AB1062" s="55">
        <f t="shared" si="173"/>
        <v>0</v>
      </c>
      <c r="AC1062" s="55">
        <f t="shared" si="179"/>
        <v>0</v>
      </c>
    </row>
    <row r="1063" spans="1:29">
      <c r="A1063" t="s">
        <v>10</v>
      </c>
      <c r="B1063" s="16" t="str">
        <f>INDEX(emprunts!C:C,MATCH($A1063,emprunts!A:A,0))</f>
        <v>Crédit Mutuel</v>
      </c>
      <c r="C1063" s="18">
        <f>INDEX(emprunts!M:M,MATCH($A1063,emprunts!$A:$A,0))</f>
        <v>36950</v>
      </c>
      <c r="D1063" s="18">
        <f>IF(INDEX(emprunts!O:O,MATCH($A1063,emprunts!$A:$A,0))="",INDEX(emprunts!N:N,MATCH($A1063,emprunts!$A:$A,0)),MIN(INDEX(emprunts!N:N,MATCH($A1063,emprunts!$A:$A,0)),INDEX(emprunts!O:O,MATCH($A1063,emprunts!$A:$A,0))))</f>
        <v>42429</v>
      </c>
      <c r="E1063" s="52">
        <f>INDEX(emprunts!I:I,MATCH($A1063,emprunts!$A:$A,0))</f>
        <v>15</v>
      </c>
      <c r="F1063" s="18" t="str">
        <f>INDEX(emprunts!P:P,MATCH($A1063,emprunts!$A:$A,0))</f>
        <v>Fixe</v>
      </c>
      <c r="G1063" s="126" t="str">
        <f>IF(LEFT(A1063,3)="vx_","vx",INDEX(Categorie,MATCH($A1063,emprunts!$A$2:$A$149,0)))</f>
        <v>Non_st</v>
      </c>
      <c r="H1063">
        <v>2016</v>
      </c>
      <c r="I1063">
        <f t="shared" si="176"/>
        <v>1</v>
      </c>
      <c r="L1063" s="5">
        <v>37315</v>
      </c>
      <c r="M1063" s="5">
        <v>38045</v>
      </c>
      <c r="N1063"/>
      <c r="O1063" s="58">
        <v>0</v>
      </c>
      <c r="P1063" s="75">
        <v>2.8000000000000001E-2</v>
      </c>
      <c r="Q1063" s="58">
        <v>1314.81</v>
      </c>
      <c r="R1063" s="58">
        <v>46907.39</v>
      </c>
      <c r="S1063" s="58"/>
      <c r="T1063" s="58">
        <v>0</v>
      </c>
      <c r="U1063" s="58">
        <f>SUM(Q1063:S1063)</f>
        <v>48222.2</v>
      </c>
      <c r="V1063" s="14">
        <f t="shared" si="174"/>
        <v>0</v>
      </c>
      <c r="W1063" s="77"/>
      <c r="X1063" s="85">
        <f t="shared" si="177"/>
        <v>0</v>
      </c>
      <c r="Y1063" s="21">
        <f t="shared" si="175"/>
        <v>5.6853533045808487E-2</v>
      </c>
      <c r="AA1063" s="55">
        <f t="shared" si="172"/>
        <v>215.53999999999996</v>
      </c>
      <c r="AB1063" s="55">
        <f t="shared" si="173"/>
        <v>0.38999999999941792</v>
      </c>
      <c r="AC1063" s="55">
        <f t="shared" si="179"/>
        <v>3791.1452191780822</v>
      </c>
    </row>
    <row r="1064" spans="1:29">
      <c r="A1064" t="s">
        <v>14</v>
      </c>
      <c r="B1064" s="16" t="str">
        <f>INDEX(emprunts!C:C,MATCH($A1064,emprunts!A:A,0))</f>
        <v>CDC</v>
      </c>
      <c r="C1064" s="18">
        <f>INDEX(emprunts!M:M,MATCH($A1064,emprunts!$A:$A,0))</f>
        <v>37006</v>
      </c>
      <c r="D1064" s="18">
        <f>IF(INDEX(emprunts!O:O,MATCH($A1064,emprunts!$A:$A,0))="",INDEX(emprunts!N:N,MATCH($A1064,emprunts!$A:$A,0)),MIN(INDEX(emprunts!N:N,MATCH($A1064,emprunts!$A:$A,0)),INDEX(emprunts!O:O,MATCH($A1064,emprunts!$A:$A,0))))</f>
        <v>38102</v>
      </c>
      <c r="E1064" s="52">
        <f>INDEX(emprunts!I:I,MATCH($A1064,emprunts!$A:$A,0))</f>
        <v>3</v>
      </c>
      <c r="F1064" s="18" t="str">
        <f>INDEX(emprunts!P:P,MATCH($A1064,emprunts!$A:$A,0))</f>
        <v>Fixe</v>
      </c>
      <c r="G1064" s="126" t="str">
        <f>IF(LEFT(A1064,3)="vx_","vx",INDEX(Categorie,MATCH($A1064,emprunts!$A$2:$A$149,0)))</f>
        <v>Non_st</v>
      </c>
      <c r="H1064">
        <v>2016</v>
      </c>
      <c r="I1064">
        <f t="shared" si="176"/>
        <v>1</v>
      </c>
      <c r="N1064"/>
      <c r="O1064" s="58"/>
      <c r="Q1064" s="58"/>
      <c r="R1064" s="58"/>
      <c r="S1064" s="58"/>
      <c r="T1064" s="58"/>
      <c r="U1064" s="58"/>
      <c r="V1064" s="14" t="str">
        <f t="shared" si="174"/>
        <v/>
      </c>
      <c r="W1064" s="77"/>
      <c r="X1064" s="85">
        <f t="shared" si="177"/>
        <v>0</v>
      </c>
      <c r="Y1064" s="21" t="str">
        <f t="shared" si="175"/>
        <v/>
      </c>
      <c r="AA1064" s="55">
        <f t="shared" si="172"/>
        <v>0</v>
      </c>
      <c r="AB1064" s="55">
        <f t="shared" si="173"/>
        <v>0</v>
      </c>
      <c r="AC1064" s="55">
        <f t="shared" si="179"/>
        <v>0</v>
      </c>
    </row>
    <row r="1065" spans="1:29">
      <c r="A1065" t="s">
        <v>22</v>
      </c>
      <c r="B1065" s="16" t="str">
        <f>INDEX(emprunts!C:C,MATCH($A1065,emprunts!A:A,0))</f>
        <v>Dexia CL</v>
      </c>
      <c r="C1065" s="18">
        <f>INDEX(emprunts!M:M,MATCH($A1065,emprunts!$A:$A,0))</f>
        <v>37221</v>
      </c>
      <c r="D1065" s="18">
        <f>IF(INDEX(emprunts!O:O,MATCH($A1065,emprunts!$A:$A,0))="",INDEX(emprunts!N:N,MATCH($A1065,emprunts!$A:$A,0)),MIN(INDEX(emprunts!N:N,MATCH($A1065,emprunts!$A:$A,0)),INDEX(emprunts!O:O,MATCH($A1065,emprunts!$A:$A,0))))</f>
        <v>38777</v>
      </c>
      <c r="E1065" s="52">
        <f>INDEX(emprunts!I:I,MATCH($A1065,emprunts!$A:$A,0))</f>
        <v>20</v>
      </c>
      <c r="F1065" s="18" t="str">
        <f>INDEX(emprunts!P:P,MATCH($A1065,emprunts!$A:$A,0))</f>
        <v>Annulable</v>
      </c>
      <c r="G1065" s="126" t="str">
        <f>IF(LEFT(A1065,3)="vx_","vx",INDEX(Categorie,MATCH($A1065,emprunts!$A$2:$A$149,0)))</f>
        <v>Struct</v>
      </c>
      <c r="H1065">
        <v>2016</v>
      </c>
      <c r="I1065">
        <f t="shared" si="176"/>
        <v>1</v>
      </c>
      <c r="N1065"/>
      <c r="O1065" s="58"/>
      <c r="Q1065" s="58"/>
      <c r="R1065" s="58"/>
      <c r="S1065" s="58"/>
      <c r="T1065" s="58"/>
      <c r="U1065" s="58"/>
      <c r="V1065" s="14" t="str">
        <f t="shared" si="174"/>
        <v/>
      </c>
      <c r="W1065" s="77"/>
      <c r="X1065" s="85">
        <f t="shared" si="177"/>
        <v>0</v>
      </c>
      <c r="Y1065" s="21" t="str">
        <f t="shared" si="175"/>
        <v/>
      </c>
      <c r="AA1065" s="55">
        <f t="shared" si="172"/>
        <v>0</v>
      </c>
      <c r="AB1065" s="55">
        <f t="shared" si="173"/>
        <v>0</v>
      </c>
      <c r="AC1065" s="55">
        <f t="shared" si="179"/>
        <v>0</v>
      </c>
    </row>
    <row r="1066" spans="1:29">
      <c r="A1066" t="s">
        <v>26</v>
      </c>
      <c r="B1066" s="16" t="str">
        <f>INDEX(emprunts!C:C,MATCH($A1066,emprunts!A:A,0))</f>
        <v>CDC</v>
      </c>
      <c r="C1066" s="18">
        <f>INDEX(emprunts!M:M,MATCH($A1066,emprunts!$A:$A,0))</f>
        <v>37281</v>
      </c>
      <c r="D1066" s="18">
        <f>IF(INDEX(emprunts!O:O,MATCH($A1066,emprunts!$A:$A,0))="",INDEX(emprunts!N:N,MATCH($A1066,emprunts!$A:$A,0)),MIN(INDEX(emprunts!N:N,MATCH($A1066,emprunts!$A:$A,0)),INDEX(emprunts!O:O,MATCH($A1066,emprunts!$A:$A,0))))</f>
        <v>39838</v>
      </c>
      <c r="E1066" s="52">
        <f>INDEX(emprunts!I:I,MATCH($A1066,emprunts!$A:$A,0))</f>
        <v>7</v>
      </c>
      <c r="F1066" s="18" t="str">
        <f>INDEX(emprunts!P:P,MATCH($A1066,emprunts!$A:$A,0))</f>
        <v>Fixe</v>
      </c>
      <c r="G1066" s="126" t="str">
        <f>IF(LEFT(A1066,3)="vx_","vx",INDEX(Categorie,MATCH($A1066,emprunts!$A$2:$A$149,0)))</f>
        <v>Non_st</v>
      </c>
      <c r="H1066">
        <v>2016</v>
      </c>
      <c r="I1066">
        <f t="shared" si="176"/>
        <v>1</v>
      </c>
      <c r="N1066"/>
      <c r="O1066" s="58"/>
      <c r="Q1066" s="58"/>
      <c r="R1066" s="58"/>
      <c r="S1066" s="58"/>
      <c r="T1066" s="58"/>
      <c r="U1066" s="58"/>
      <c r="V1066" s="14" t="str">
        <f t="shared" si="174"/>
        <v/>
      </c>
      <c r="W1066" s="77"/>
      <c r="X1066" s="85">
        <f t="shared" si="177"/>
        <v>0</v>
      </c>
      <c r="Y1066" s="21" t="str">
        <f t="shared" si="175"/>
        <v/>
      </c>
      <c r="AA1066" s="55">
        <f t="shared" si="172"/>
        <v>0</v>
      </c>
      <c r="AB1066" s="55">
        <f t="shared" si="173"/>
        <v>0</v>
      </c>
      <c r="AC1066" s="55">
        <f t="shared" si="179"/>
        <v>0</v>
      </c>
    </row>
    <row r="1067" spans="1:29">
      <c r="A1067" t="s">
        <v>28</v>
      </c>
      <c r="B1067" s="16" t="str">
        <f>INDEX(emprunts!C:C,MATCH($A1067,emprunts!A:A,0))</f>
        <v>CDC</v>
      </c>
      <c r="C1067" s="18">
        <f>INDEX(emprunts!M:M,MATCH($A1067,emprunts!$A:$A,0))</f>
        <v>37288</v>
      </c>
      <c r="D1067" s="18">
        <f>IF(INDEX(emprunts!O:O,MATCH($A1067,emprunts!$A:$A,0))="",INDEX(emprunts!N:N,MATCH($A1067,emprunts!$A:$A,0)),MIN(INDEX(emprunts!N:N,MATCH($A1067,emprunts!$A:$A,0)),INDEX(emprunts!O:O,MATCH($A1067,emprunts!$A:$A,0))))</f>
        <v>44593</v>
      </c>
      <c r="E1067" s="52">
        <f>INDEX(emprunts!I:I,MATCH($A1067,emprunts!$A:$A,0))</f>
        <v>20</v>
      </c>
      <c r="F1067" s="18" t="str">
        <f>INDEX(emprunts!P:P,MATCH($A1067,emprunts!$A:$A,0))</f>
        <v>Livret A</v>
      </c>
      <c r="G1067" s="126" t="str">
        <f>IF(LEFT(A1067,3)="vx_","vx",INDEX(Categorie,MATCH($A1067,emprunts!$A$2:$A$149,0)))</f>
        <v>Livr_A</v>
      </c>
      <c r="H1067">
        <v>2016</v>
      </c>
      <c r="I1067">
        <f t="shared" si="176"/>
        <v>1</v>
      </c>
      <c r="L1067" s="5">
        <v>37653</v>
      </c>
      <c r="M1067" s="5">
        <v>37653</v>
      </c>
      <c r="N1067" s="14">
        <v>2137796</v>
      </c>
      <c r="O1067" s="58">
        <v>742919</v>
      </c>
      <c r="P1067" s="75">
        <v>7.7000000000000002E-3</v>
      </c>
      <c r="Q1067" s="58">
        <v>8624.84</v>
      </c>
      <c r="R1067" s="58">
        <v>119564.61</v>
      </c>
      <c r="S1067" s="58"/>
      <c r="T1067" s="58">
        <v>5092.09</v>
      </c>
      <c r="U1067" s="58">
        <f>SUM(Q1067:S1067)</f>
        <v>128189.45</v>
      </c>
      <c r="V1067" s="14">
        <f t="shared" si="174"/>
        <v>0</v>
      </c>
      <c r="W1067" s="77"/>
      <c r="X1067" s="85">
        <f t="shared" si="177"/>
        <v>0</v>
      </c>
      <c r="Y1067" s="21">
        <f t="shared" si="175"/>
        <v>7.2856988814787096E-3</v>
      </c>
      <c r="AA1067" s="55">
        <f t="shared" si="172"/>
        <v>5848.2400000000007</v>
      </c>
      <c r="AB1067" s="55">
        <f t="shared" si="173"/>
        <v>-0.39000000001396984</v>
      </c>
      <c r="AC1067" s="55">
        <f t="shared" si="179"/>
        <v>802701.30500000005</v>
      </c>
    </row>
    <row r="1068" spans="1:29">
      <c r="A1068" t="s">
        <v>31</v>
      </c>
      <c r="B1068" s="16" t="str">
        <f>INDEX(emprunts!C:C,MATCH($A1068,emprunts!A:A,0))</f>
        <v>CDC</v>
      </c>
      <c r="C1068" s="18">
        <f>INDEX(emprunts!M:M,MATCH($A1068,emprunts!$A:$A,0))</f>
        <v>37347</v>
      </c>
      <c r="D1068" s="18">
        <f>IF(INDEX(emprunts!O:O,MATCH($A1068,emprunts!$A:$A,0))="",INDEX(emprunts!N:N,MATCH($A1068,emprunts!$A:$A,0)),MIN(INDEX(emprunts!N:N,MATCH($A1068,emprunts!$A:$A,0)),INDEX(emprunts!O:O,MATCH($A1068,emprunts!$A:$A,0))))</f>
        <v>44652</v>
      </c>
      <c r="E1068" s="52">
        <f>INDEX(emprunts!I:I,MATCH($A1068,emprunts!$A:$A,0))</f>
        <v>20</v>
      </c>
      <c r="F1068" s="18" t="str">
        <f>INDEX(emprunts!P:P,MATCH($A1068,emprunts!$A:$A,0))</f>
        <v>Livret A</v>
      </c>
      <c r="G1068" s="126" t="str">
        <f>IF(LEFT(A1068,3)="vx_","vx",INDEX(Categorie,MATCH($A1068,emprunts!$A$2:$A$149,0)))</f>
        <v>Livr_A</v>
      </c>
      <c r="H1068">
        <v>2016</v>
      </c>
      <c r="I1068">
        <f t="shared" si="176"/>
        <v>1</v>
      </c>
      <c r="N1068"/>
      <c r="O1068" s="58"/>
      <c r="P1068" s="75"/>
      <c r="Q1068" s="58"/>
      <c r="R1068" s="58"/>
      <c r="S1068" s="58"/>
      <c r="T1068" s="58"/>
      <c r="U1068" s="58"/>
      <c r="V1068" s="14" t="str">
        <f t="shared" si="174"/>
        <v/>
      </c>
      <c r="W1068" s="77"/>
      <c r="X1068" s="85">
        <f t="shared" si="177"/>
        <v>0</v>
      </c>
      <c r="Y1068" s="21" t="str">
        <f t="shared" si="175"/>
        <v/>
      </c>
      <c r="AA1068" s="55">
        <f t="shared" si="172"/>
        <v>0</v>
      </c>
      <c r="AB1068" s="55">
        <f t="shared" si="173"/>
        <v>0</v>
      </c>
      <c r="AC1068" s="55">
        <f t="shared" si="179"/>
        <v>0</v>
      </c>
    </row>
    <row r="1069" spans="1:29">
      <c r="A1069" t="s">
        <v>33</v>
      </c>
      <c r="B1069" s="16" t="str">
        <f>INDEX(emprunts!C:C,MATCH($A1069,emprunts!A:A,0))</f>
        <v>Crédit Agricole</v>
      </c>
      <c r="C1069" s="18">
        <f>INDEX(emprunts!M:M,MATCH($A1069,emprunts!$A:$A,0))</f>
        <v>37361</v>
      </c>
      <c r="D1069" s="18">
        <f>IF(INDEX(emprunts!O:O,MATCH($A1069,emprunts!$A:$A,0))="",INDEX(emprunts!N:N,MATCH($A1069,emprunts!$A:$A,0)),MIN(INDEX(emprunts!N:N,MATCH($A1069,emprunts!$A:$A,0)),INDEX(emprunts!O:O,MATCH($A1069,emprunts!$A:$A,0))))</f>
        <v>42843</v>
      </c>
      <c r="E1069" s="52">
        <f>INDEX(emprunts!I:I,MATCH($A1069,emprunts!$A:$A,0))</f>
        <v>15</v>
      </c>
      <c r="F1069" s="18" t="str">
        <f>INDEX(emprunts!P:P,MATCH($A1069,emprunts!$A:$A,0))</f>
        <v>Barrière hors zone EUR</v>
      </c>
      <c r="G1069" s="126" t="str">
        <f>IF(LEFT(A1069,3)="vx_","vx",INDEX(Categorie,MATCH($A1069,emprunts!$A$2:$A$149,0)))</f>
        <v>Struct</v>
      </c>
      <c r="H1069">
        <v>2016</v>
      </c>
      <c r="I1069">
        <f t="shared" si="176"/>
        <v>1</v>
      </c>
      <c r="L1069" s="5">
        <v>37726</v>
      </c>
      <c r="M1069" s="5">
        <v>37726</v>
      </c>
      <c r="N1069"/>
      <c r="O1069" s="58">
        <v>1098793</v>
      </c>
      <c r="P1069" s="75">
        <v>0</v>
      </c>
      <c r="Q1069" s="58">
        <v>0</v>
      </c>
      <c r="R1069" s="58">
        <v>1061548.9099999999</v>
      </c>
      <c r="S1069" s="58"/>
      <c r="T1069" s="58">
        <v>0</v>
      </c>
      <c r="U1069" s="58">
        <f>SUM(Q1069:S1069)</f>
        <v>1061548.9099999999</v>
      </c>
      <c r="V1069" s="14">
        <f t="shared" si="174"/>
        <v>0</v>
      </c>
      <c r="W1069" s="77"/>
      <c r="X1069" s="85">
        <f t="shared" si="177"/>
        <v>0</v>
      </c>
      <c r="Y1069" s="21" t="str">
        <f t="shared" si="175"/>
        <v/>
      </c>
      <c r="AA1069" s="55">
        <f t="shared" si="172"/>
        <v>0</v>
      </c>
      <c r="AB1069" s="55">
        <f t="shared" si="173"/>
        <v>89.910000000149012</v>
      </c>
      <c r="AC1069" s="55">
        <f t="shared" si="179"/>
        <v>1629567.4550000001</v>
      </c>
    </row>
    <row r="1070" spans="1:29">
      <c r="A1070" t="s">
        <v>38</v>
      </c>
      <c r="B1070" s="16" t="str">
        <f>INDEX(emprunts!C:C,MATCH($A1070,emprunts!A:A,0))</f>
        <v>Dexia CL</v>
      </c>
      <c r="C1070" s="18">
        <f>INDEX(emprunts!M:M,MATCH($A1070,emprunts!$A:$A,0))</f>
        <v>37377</v>
      </c>
      <c r="D1070" s="18">
        <f>IF(INDEX(emprunts!O:O,MATCH($A1070,emprunts!$A:$A,0))="",INDEX(emprunts!N:N,MATCH($A1070,emprunts!$A:$A,0)),MIN(INDEX(emprunts!N:N,MATCH($A1070,emprunts!$A:$A,0)),INDEX(emprunts!O:O,MATCH($A1070,emprunts!$A:$A,0))))</f>
        <v>38087</v>
      </c>
      <c r="E1070" s="52">
        <f>INDEX(emprunts!I:I,MATCH($A1070,emprunts!$A:$A,0))</f>
        <v>17</v>
      </c>
      <c r="F1070" s="18" t="str">
        <f>INDEX(emprunts!P:P,MATCH($A1070,emprunts!$A:$A,0))</f>
        <v>Barrière</v>
      </c>
      <c r="G1070" s="126" t="str">
        <f>IF(LEFT(A1070,3)="vx_","vx",INDEX(Categorie,MATCH($A1070,emprunts!$A$2:$A$149,0)))</f>
        <v>Struct</v>
      </c>
      <c r="H1070">
        <v>2016</v>
      </c>
      <c r="I1070">
        <f t="shared" si="176"/>
        <v>1</v>
      </c>
      <c r="N1070"/>
      <c r="O1070" s="58"/>
      <c r="P1070" s="75"/>
      <c r="Q1070" s="58"/>
      <c r="R1070" s="58"/>
      <c r="S1070" s="58"/>
      <c r="T1070" s="58"/>
      <c r="U1070" s="58"/>
      <c r="V1070" s="14" t="str">
        <f t="shared" si="174"/>
        <v/>
      </c>
      <c r="W1070" s="77"/>
      <c r="X1070" s="85">
        <f t="shared" si="177"/>
        <v>0</v>
      </c>
      <c r="Y1070" s="21" t="str">
        <f t="shared" si="175"/>
        <v/>
      </c>
      <c r="AA1070" s="55">
        <f t="shared" si="172"/>
        <v>0</v>
      </c>
      <c r="AB1070" s="55">
        <f t="shared" si="173"/>
        <v>0</v>
      </c>
      <c r="AC1070" s="55">
        <f t="shared" si="179"/>
        <v>0</v>
      </c>
    </row>
    <row r="1071" spans="1:29">
      <c r="A1071" t="s">
        <v>43</v>
      </c>
      <c r="B1071" s="16" t="str">
        <f>INDEX(emprunts!C:C,MATCH($A1071,emprunts!A:A,0))</f>
        <v>Dexia CL</v>
      </c>
      <c r="C1071" s="18">
        <f>INDEX(emprunts!M:M,MATCH($A1071,emprunts!$A:$A,0))</f>
        <v>37377</v>
      </c>
      <c r="D1071" s="18">
        <f>IF(INDEX(emprunts!O:O,MATCH($A1071,emprunts!$A:$A,0))="",INDEX(emprunts!N:N,MATCH($A1071,emprunts!$A:$A,0)),MIN(INDEX(emprunts!N:N,MATCH($A1071,emprunts!$A:$A,0)),INDEX(emprunts!O:O,MATCH($A1071,emprunts!$A:$A,0))))</f>
        <v>38534</v>
      </c>
      <c r="E1071" s="52">
        <f>INDEX(emprunts!I:I,MATCH($A1071,emprunts!$A:$A,0))</f>
        <v>19.25</v>
      </c>
      <c r="F1071" s="18" t="str">
        <f>INDEX(emprunts!P:P,MATCH($A1071,emprunts!$A:$A,0))</f>
        <v>Barrière hors zone EUR</v>
      </c>
      <c r="G1071" s="126" t="str">
        <f>IF(LEFT(A1071,3)="vx_","vx",INDEX(Categorie,MATCH($A1071,emprunts!$A$2:$A$149,0)))</f>
        <v>Struct</v>
      </c>
      <c r="H1071">
        <v>2016</v>
      </c>
      <c r="I1071">
        <f t="shared" si="176"/>
        <v>1</v>
      </c>
      <c r="N1071"/>
      <c r="O1071" s="58"/>
      <c r="P1071" s="75"/>
      <c r="Q1071" s="58"/>
      <c r="R1071" s="58"/>
      <c r="S1071" s="58"/>
      <c r="T1071" s="58"/>
      <c r="U1071" s="58"/>
      <c r="V1071" s="14" t="str">
        <f t="shared" si="174"/>
        <v/>
      </c>
      <c r="W1071" s="77"/>
      <c r="X1071" s="85">
        <f t="shared" si="177"/>
        <v>0</v>
      </c>
      <c r="Y1071" s="21" t="str">
        <f t="shared" si="175"/>
        <v/>
      </c>
      <c r="AA1071" s="55">
        <f t="shared" si="172"/>
        <v>0</v>
      </c>
      <c r="AB1071" s="55">
        <f t="shared" si="173"/>
        <v>0</v>
      </c>
      <c r="AC1071" s="55">
        <f t="shared" si="179"/>
        <v>0</v>
      </c>
    </row>
    <row r="1072" spans="1:29">
      <c r="A1072" t="s">
        <v>46</v>
      </c>
      <c r="B1072" s="16" t="str">
        <f>INDEX(emprunts!C:C,MATCH($A1072,emprunts!A:A,0))</f>
        <v>Dexia CL</v>
      </c>
      <c r="C1072" s="18">
        <f>INDEX(emprunts!M:M,MATCH($A1072,emprunts!$A:$A,0))</f>
        <v>37377</v>
      </c>
      <c r="D1072" s="18">
        <f>IF(INDEX(emprunts!O:O,MATCH($A1072,emprunts!$A:$A,0))="",INDEX(emprunts!N:N,MATCH($A1072,emprunts!$A:$A,0)),MIN(INDEX(emprunts!N:N,MATCH($A1072,emprunts!$A:$A,0)),INDEX(emprunts!O:O,MATCH($A1072,emprunts!$A:$A,0))))</f>
        <v>38087</v>
      </c>
      <c r="E1072" s="52">
        <f>INDEX(emprunts!I:I,MATCH($A1072,emprunts!$A:$A,0))</f>
        <v>19.25</v>
      </c>
      <c r="F1072" s="18" t="str">
        <f>INDEX(emprunts!P:P,MATCH($A1072,emprunts!$A:$A,0))</f>
        <v>Barrière hors zone EUR</v>
      </c>
      <c r="G1072" s="126" t="str">
        <f>IF(LEFT(A1072,3)="vx_","vx",INDEX(Categorie,MATCH($A1072,emprunts!$A$2:$A$149,0)))</f>
        <v>Struct</v>
      </c>
      <c r="H1072">
        <v>2016</v>
      </c>
      <c r="I1072">
        <f t="shared" si="176"/>
        <v>1</v>
      </c>
      <c r="N1072"/>
      <c r="O1072" s="58"/>
      <c r="P1072" s="75"/>
      <c r="Q1072" s="58"/>
      <c r="R1072" s="58"/>
      <c r="S1072" s="58"/>
      <c r="T1072" s="58"/>
      <c r="U1072" s="58"/>
      <c r="V1072" s="14" t="str">
        <f t="shared" si="174"/>
        <v/>
      </c>
      <c r="W1072" s="77"/>
      <c r="X1072" s="85">
        <f t="shared" si="177"/>
        <v>0</v>
      </c>
      <c r="Y1072" s="21" t="str">
        <f t="shared" si="175"/>
        <v/>
      </c>
      <c r="AA1072" s="55">
        <f t="shared" si="172"/>
        <v>0</v>
      </c>
      <c r="AB1072" s="55">
        <f t="shared" si="173"/>
        <v>0</v>
      </c>
      <c r="AC1072" s="55">
        <f t="shared" si="179"/>
        <v>0</v>
      </c>
    </row>
    <row r="1073" spans="1:29">
      <c r="A1073" t="s">
        <v>51</v>
      </c>
      <c r="B1073" s="16" t="str">
        <f>INDEX(emprunts!C:C,MATCH($A1073,emprunts!A:A,0))</f>
        <v>Dexia CL</v>
      </c>
      <c r="C1073" s="18">
        <f>INDEX(emprunts!M:M,MATCH($A1073,emprunts!$A:$A,0))</f>
        <v>37377</v>
      </c>
      <c r="D1073" s="18">
        <f>IF(INDEX(emprunts!O:O,MATCH($A1073,emprunts!$A:$A,0))="",INDEX(emprunts!N:N,MATCH($A1073,emprunts!$A:$A,0)),MIN(INDEX(emprunts!N:N,MATCH($A1073,emprunts!$A:$A,0)),INDEX(emprunts!O:O,MATCH($A1073,emprunts!$A:$A,0))))</f>
        <v>38193</v>
      </c>
      <c r="E1073" s="52">
        <f>INDEX(emprunts!I:I,MATCH($A1073,emprunts!$A:$A,0))</f>
        <v>8</v>
      </c>
      <c r="F1073" s="18" t="str">
        <f>INDEX(emprunts!P:P,MATCH($A1073,emprunts!$A:$A,0))</f>
        <v>Variable hors zone EUR</v>
      </c>
      <c r="G1073" s="126" t="str">
        <f>IF(LEFT(A1073,3)="vx_","vx",INDEX(Categorie,MATCH($A1073,emprunts!$A$2:$A$149,0)))</f>
        <v>Struct</v>
      </c>
      <c r="H1073">
        <v>2016</v>
      </c>
      <c r="I1073">
        <f t="shared" si="176"/>
        <v>1</v>
      </c>
      <c r="N1073"/>
      <c r="O1073" s="58"/>
      <c r="P1073" s="75"/>
      <c r="Q1073" s="58"/>
      <c r="R1073" s="58"/>
      <c r="S1073" s="58"/>
      <c r="T1073" s="58"/>
      <c r="U1073" s="58"/>
      <c r="V1073" s="14" t="str">
        <f t="shared" si="174"/>
        <v/>
      </c>
      <c r="W1073" s="77"/>
      <c r="X1073" s="85">
        <f t="shared" si="177"/>
        <v>0</v>
      </c>
      <c r="Y1073" s="21" t="str">
        <f t="shared" si="175"/>
        <v/>
      </c>
      <c r="AA1073" s="55">
        <f t="shared" si="172"/>
        <v>0</v>
      </c>
      <c r="AB1073" s="55">
        <f t="shared" si="173"/>
        <v>0</v>
      </c>
      <c r="AC1073" s="55">
        <f t="shared" si="179"/>
        <v>0</v>
      </c>
    </row>
    <row r="1074" spans="1:29">
      <c r="A1074" t="s">
        <v>55</v>
      </c>
      <c r="B1074" s="16" t="str">
        <f>INDEX(emprunts!C:C,MATCH($A1074,emprunts!A:A,0))</f>
        <v>CDC</v>
      </c>
      <c r="C1074" s="18">
        <f>INDEX(emprunts!M:M,MATCH($A1074,emprunts!$A:$A,0))</f>
        <v>37530</v>
      </c>
      <c r="D1074" s="18">
        <f>IF(INDEX(emprunts!O:O,MATCH($A1074,emprunts!$A:$A,0))="",INDEX(emprunts!N:N,MATCH($A1074,emprunts!$A:$A,0)),MIN(INDEX(emprunts!N:N,MATCH($A1074,emprunts!$A:$A,0)),INDEX(emprunts!O:O,MATCH($A1074,emprunts!$A:$A,0))))</f>
        <v>37530</v>
      </c>
      <c r="E1074" s="52">
        <f>INDEX(emprunts!I:I,MATCH($A1074,emprunts!$A:$A,0))</f>
        <v>20</v>
      </c>
      <c r="F1074" s="18" t="str">
        <f>INDEX(emprunts!P:P,MATCH($A1074,emprunts!$A:$A,0))</f>
        <v>Livret A</v>
      </c>
      <c r="G1074" s="126" t="str">
        <f>IF(LEFT(A1074,3)="vx_","vx",INDEX(Categorie,MATCH($A1074,emprunts!$A$2:$A$149,0)))</f>
        <v>Livr_A</v>
      </c>
      <c r="H1074">
        <v>2016</v>
      </c>
      <c r="I1074">
        <f t="shared" si="176"/>
        <v>1</v>
      </c>
      <c r="N1074"/>
      <c r="O1074" s="58"/>
      <c r="P1074" s="75"/>
      <c r="Q1074" s="58"/>
      <c r="R1074" s="58"/>
      <c r="S1074" s="58"/>
      <c r="T1074" s="58"/>
      <c r="U1074" s="58"/>
      <c r="V1074" s="14" t="str">
        <f t="shared" si="174"/>
        <v/>
      </c>
      <c r="W1074" s="77"/>
      <c r="X1074" s="85">
        <f t="shared" si="177"/>
        <v>0</v>
      </c>
      <c r="Y1074" s="21" t="str">
        <f t="shared" si="175"/>
        <v/>
      </c>
      <c r="AA1074" s="55">
        <f t="shared" si="172"/>
        <v>0</v>
      </c>
      <c r="AB1074" s="55">
        <f t="shared" si="173"/>
        <v>0</v>
      </c>
      <c r="AC1074" s="55">
        <f t="shared" si="179"/>
        <v>0</v>
      </c>
    </row>
    <row r="1075" spans="1:29">
      <c r="A1075" t="s">
        <v>57</v>
      </c>
      <c r="B1075" s="16" t="str">
        <f>INDEX(emprunts!C:C,MATCH($A1075,emprunts!A:A,0))</f>
        <v>Dexia CL</v>
      </c>
      <c r="C1075" s="18">
        <f>INDEX(emprunts!M:M,MATCH($A1075,emprunts!$A:$A,0))</f>
        <v>37533</v>
      </c>
      <c r="D1075" s="18">
        <f>IF(INDEX(emprunts!O:O,MATCH($A1075,emprunts!$A:$A,0))="",INDEX(emprunts!N:N,MATCH($A1075,emprunts!$A:$A,0)),MIN(INDEX(emprunts!N:N,MATCH($A1075,emprunts!$A:$A,0)),INDEX(emprunts!O:O,MATCH($A1075,emprunts!$A:$A,0))))</f>
        <v>38193</v>
      </c>
      <c r="E1075" s="52">
        <f>INDEX(emprunts!I:I,MATCH($A1075,emprunts!$A:$A,0))</f>
        <v>20</v>
      </c>
      <c r="F1075" s="18" t="str">
        <f>INDEX(emprunts!P:P,MATCH($A1075,emprunts!$A:$A,0))</f>
        <v>Fixe</v>
      </c>
      <c r="G1075" s="126" t="str">
        <f>IF(LEFT(A1075,3)="vx_","vx",INDEX(Categorie,MATCH($A1075,emprunts!$A$2:$A$149,0)))</f>
        <v>Non_st</v>
      </c>
      <c r="H1075">
        <v>2016</v>
      </c>
      <c r="I1075">
        <f t="shared" si="176"/>
        <v>1</v>
      </c>
      <c r="N1075"/>
      <c r="O1075" s="58"/>
      <c r="P1075" s="75"/>
      <c r="Q1075" s="58"/>
      <c r="R1075" s="58"/>
      <c r="S1075" s="58"/>
      <c r="T1075" s="58"/>
      <c r="U1075" s="58"/>
      <c r="V1075" s="14" t="str">
        <f t="shared" si="174"/>
        <v/>
      </c>
      <c r="W1075" s="77"/>
      <c r="X1075" s="85">
        <f t="shared" si="177"/>
        <v>0</v>
      </c>
      <c r="Y1075" s="21" t="str">
        <f t="shared" si="175"/>
        <v/>
      </c>
      <c r="AA1075" s="55">
        <f t="shared" si="172"/>
        <v>0</v>
      </c>
      <c r="AB1075" s="55">
        <f t="shared" si="173"/>
        <v>0</v>
      </c>
      <c r="AC1075" s="55">
        <f t="shared" si="179"/>
        <v>0</v>
      </c>
    </row>
    <row r="1076" spans="1:29">
      <c r="A1076" t="s">
        <v>59</v>
      </c>
      <c r="B1076" s="16" t="str">
        <f>INDEX(emprunts!C:C,MATCH($A1076,emprunts!A:A,0))</f>
        <v>CDC</v>
      </c>
      <c r="C1076" s="18">
        <f>INDEX(emprunts!M:M,MATCH($A1076,emprunts!$A:$A,0))</f>
        <v>37621</v>
      </c>
      <c r="D1076" s="18">
        <f>IF(INDEX(emprunts!O:O,MATCH($A1076,emprunts!$A:$A,0))="",INDEX(emprunts!N:N,MATCH($A1076,emprunts!$A:$A,0)),MIN(INDEX(emprunts!N:N,MATCH($A1076,emprunts!$A:$A,0)),INDEX(emprunts!O:O,MATCH($A1076,emprunts!$A:$A,0))))</f>
        <v>44927</v>
      </c>
      <c r="E1076" s="52">
        <f>INDEX(emprunts!I:I,MATCH($A1076,emprunts!$A:$A,0))</f>
        <v>20</v>
      </c>
      <c r="F1076" s="18" t="str">
        <f>INDEX(emprunts!P:P,MATCH($A1076,emprunts!$A:$A,0))</f>
        <v>Livret A</v>
      </c>
      <c r="G1076" s="126" t="str">
        <f>IF(LEFT(A1076,3)="vx_","vx",INDEX(Categorie,MATCH($A1076,emprunts!$A$2:$A$149,0)))</f>
        <v>Livr_A</v>
      </c>
      <c r="H1076">
        <v>2016</v>
      </c>
      <c r="I1076">
        <f t="shared" si="176"/>
        <v>1</v>
      </c>
      <c r="N1076"/>
      <c r="O1076" s="58"/>
      <c r="P1076" s="75"/>
      <c r="Q1076" s="58"/>
      <c r="R1076" s="58"/>
      <c r="S1076" s="58"/>
      <c r="T1076" s="58"/>
      <c r="U1076" s="58"/>
      <c r="V1076" s="14" t="str">
        <f t="shared" si="174"/>
        <v/>
      </c>
      <c r="W1076" s="77"/>
      <c r="X1076" s="85">
        <f t="shared" si="177"/>
        <v>0</v>
      </c>
      <c r="Y1076" s="21" t="str">
        <f t="shared" si="175"/>
        <v/>
      </c>
      <c r="AA1076" s="55">
        <f t="shared" si="172"/>
        <v>0</v>
      </c>
      <c r="AB1076" s="55">
        <f t="shared" si="173"/>
        <v>0</v>
      </c>
      <c r="AC1076" s="55">
        <f t="shared" si="179"/>
        <v>0</v>
      </c>
    </row>
    <row r="1077" spans="1:29">
      <c r="A1077" t="s">
        <v>64</v>
      </c>
      <c r="B1077" s="16" t="str">
        <f>INDEX(emprunts!C:C,MATCH($A1077,emprunts!A:A,0))</f>
        <v>Dexia CL</v>
      </c>
      <c r="C1077" s="18">
        <f>INDEX(emprunts!M:M,MATCH($A1077,emprunts!$A:$A,0))</f>
        <v>37681</v>
      </c>
      <c r="D1077" s="18">
        <f>IF(INDEX(emprunts!O:O,MATCH($A1077,emprunts!$A:$A,0))="",INDEX(emprunts!N:N,MATCH($A1077,emprunts!$A:$A,0)),MIN(INDEX(emprunts!N:N,MATCH($A1077,emprunts!$A:$A,0)),INDEX(emprunts!O:O,MATCH($A1077,emprunts!$A:$A,0))))</f>
        <v>38443</v>
      </c>
      <c r="E1077" s="52">
        <f>INDEX(emprunts!I:I,MATCH($A1077,emprunts!$A:$A,0))</f>
        <v>15</v>
      </c>
      <c r="F1077" s="18" t="str">
        <f>INDEX(emprunts!P:P,MATCH($A1077,emprunts!$A:$A,0))</f>
        <v>Barrière</v>
      </c>
      <c r="G1077" s="126" t="str">
        <f>IF(LEFT(A1077,3)="vx_","vx",INDEX(Categorie,MATCH($A1077,emprunts!$A$2:$A$149,0)))</f>
        <v>Struct</v>
      </c>
      <c r="H1077">
        <v>2016</v>
      </c>
      <c r="I1077">
        <f t="shared" si="176"/>
        <v>1</v>
      </c>
      <c r="N1077"/>
      <c r="O1077" s="58"/>
      <c r="P1077" s="75"/>
      <c r="Q1077" s="58"/>
      <c r="R1077" s="58"/>
      <c r="S1077" s="58"/>
      <c r="T1077" s="58"/>
      <c r="U1077" s="58"/>
      <c r="V1077" s="14" t="str">
        <f t="shared" si="174"/>
        <v/>
      </c>
      <c r="W1077" s="77"/>
      <c r="X1077" s="85">
        <f t="shared" si="177"/>
        <v>0</v>
      </c>
      <c r="Y1077" s="21" t="str">
        <f t="shared" si="175"/>
        <v/>
      </c>
      <c r="AA1077" s="55">
        <f t="shared" si="172"/>
        <v>0</v>
      </c>
      <c r="AB1077" s="55">
        <f t="shared" si="173"/>
        <v>0</v>
      </c>
      <c r="AC1077" s="55">
        <f t="shared" si="179"/>
        <v>0</v>
      </c>
    </row>
    <row r="1078" spans="1:29">
      <c r="A1078" t="s">
        <v>71</v>
      </c>
      <c r="B1078" s="16" t="str">
        <f>INDEX(emprunts!C:C,MATCH($A1078,emprunts!A:A,0))</f>
        <v>Dexia CL</v>
      </c>
      <c r="C1078" s="18">
        <f>INDEX(emprunts!M:M,MATCH($A1078,emprunts!$A:$A,0))</f>
        <v>37742</v>
      </c>
      <c r="D1078" s="18">
        <f>IF(INDEX(emprunts!O:O,MATCH($A1078,emprunts!$A:$A,0))="",INDEX(emprunts!N:N,MATCH($A1078,emprunts!$A:$A,0)),MIN(INDEX(emprunts!N:N,MATCH($A1078,emprunts!$A:$A,0)),INDEX(emprunts!O:O,MATCH($A1078,emprunts!$A:$A,0))))</f>
        <v>38443</v>
      </c>
      <c r="E1078" s="52">
        <f>INDEX(emprunts!I:I,MATCH($A1078,emprunts!$A:$A,0))</f>
        <v>8</v>
      </c>
      <c r="F1078" s="18" t="str">
        <f>INDEX(emprunts!P:P,MATCH($A1078,emprunts!$A:$A,0))</f>
        <v>Barrière</v>
      </c>
      <c r="G1078" s="126" t="str">
        <f>IF(LEFT(A1078,3)="vx_","vx",INDEX(Categorie,MATCH($A1078,emprunts!$A$2:$A$149,0)))</f>
        <v>Struct</v>
      </c>
      <c r="H1078">
        <v>2016</v>
      </c>
      <c r="I1078">
        <f t="shared" si="176"/>
        <v>1</v>
      </c>
      <c r="N1078"/>
      <c r="O1078" s="58"/>
      <c r="P1078" s="75"/>
      <c r="Q1078" s="58"/>
      <c r="R1078" s="58"/>
      <c r="S1078" s="58"/>
      <c r="T1078" s="58"/>
      <c r="U1078" s="58"/>
      <c r="V1078" s="14" t="str">
        <f t="shared" si="174"/>
        <v/>
      </c>
      <c r="W1078" s="77"/>
      <c r="X1078" s="85">
        <f t="shared" si="177"/>
        <v>0</v>
      </c>
      <c r="Y1078" s="21" t="str">
        <f t="shared" si="175"/>
        <v/>
      </c>
      <c r="AA1078" s="55">
        <f t="shared" si="172"/>
        <v>0</v>
      </c>
      <c r="AB1078" s="55">
        <f t="shared" si="173"/>
        <v>0</v>
      </c>
      <c r="AC1078" s="55">
        <f t="shared" si="179"/>
        <v>0</v>
      </c>
    </row>
    <row r="1079" spans="1:29">
      <c r="A1079" t="s">
        <v>78</v>
      </c>
      <c r="B1079" s="16" t="str">
        <f>INDEX(emprunts!C:C,MATCH($A1079,emprunts!A:A,0))</f>
        <v>Dexia CL</v>
      </c>
      <c r="C1079" s="18">
        <f>INDEX(emprunts!M:M,MATCH($A1079,emprunts!$A:$A,0))</f>
        <v>37772</v>
      </c>
      <c r="D1079" s="18">
        <f>IF(INDEX(emprunts!O:O,MATCH($A1079,emprunts!$A:$A,0))="",INDEX(emprunts!N:N,MATCH($A1079,emprunts!$A:$A,0)),MIN(INDEX(emprunts!N:N,MATCH($A1079,emprunts!$A:$A,0)),INDEX(emprunts!O:O,MATCH($A1079,emprunts!$A:$A,0))))</f>
        <v>38443</v>
      </c>
      <c r="E1079" s="52">
        <f>INDEX(emprunts!I:I,MATCH($A1079,emprunts!$A:$A,0))</f>
        <v>20</v>
      </c>
      <c r="F1079" s="18" t="str">
        <f>INDEX(emprunts!P:P,MATCH($A1079,emprunts!$A:$A,0))</f>
        <v>Barrière</v>
      </c>
      <c r="G1079" s="126" t="str">
        <f>IF(LEFT(A1079,3)="vx_","vx",INDEX(Categorie,MATCH($A1079,emprunts!$A$2:$A$149,0)))</f>
        <v>Struct</v>
      </c>
      <c r="H1079">
        <v>2016</v>
      </c>
      <c r="I1079">
        <f t="shared" si="176"/>
        <v>1</v>
      </c>
      <c r="N1079"/>
      <c r="O1079" s="58"/>
      <c r="P1079" s="75"/>
      <c r="Q1079" s="58"/>
      <c r="R1079" s="58"/>
      <c r="S1079" s="58"/>
      <c r="T1079" s="58"/>
      <c r="U1079" s="58"/>
      <c r="V1079" s="14" t="str">
        <f t="shared" si="174"/>
        <v/>
      </c>
      <c r="W1079" s="77"/>
      <c r="X1079" s="85">
        <f t="shared" si="177"/>
        <v>0</v>
      </c>
      <c r="Y1079" s="21" t="str">
        <f t="shared" si="175"/>
        <v/>
      </c>
      <c r="AA1079" s="55">
        <f t="shared" si="172"/>
        <v>0</v>
      </c>
      <c r="AB1079" s="55">
        <f t="shared" si="173"/>
        <v>0</v>
      </c>
      <c r="AC1079" s="55">
        <f t="shared" si="179"/>
        <v>0</v>
      </c>
    </row>
    <row r="1080" spans="1:29">
      <c r="A1080" t="s">
        <v>79</v>
      </c>
      <c r="B1080" s="16" t="str">
        <f>INDEX(emprunts!C:C,MATCH($A1080,emprunts!A:A,0))</f>
        <v>Caisse d'Épargne</v>
      </c>
      <c r="C1080" s="18">
        <f>INDEX(emprunts!M:M,MATCH($A1080,emprunts!$A:$A,0))</f>
        <v>37803</v>
      </c>
      <c r="D1080" s="18">
        <f>IF(INDEX(emprunts!O:O,MATCH($A1080,emprunts!$A:$A,0))="",INDEX(emprunts!N:N,MATCH($A1080,emprunts!$A:$A,0)),MIN(INDEX(emprunts!N:N,MATCH($A1080,emprunts!$A:$A,0)),INDEX(emprunts!O:O,MATCH($A1080,emprunts!$A:$A,0))))</f>
        <v>38773</v>
      </c>
      <c r="E1080" s="52">
        <f>INDEX(emprunts!I:I,MATCH($A1080,emprunts!$A:$A,0))</f>
        <v>20</v>
      </c>
      <c r="F1080" s="18" t="str">
        <f>INDEX(emprunts!P:P,MATCH($A1080,emprunts!$A:$A,0))</f>
        <v>Barrière hors zone EUR</v>
      </c>
      <c r="G1080" s="126" t="str">
        <f>IF(LEFT(A1080,3)="vx_","vx",INDEX(Categorie,MATCH($A1080,emprunts!$A$2:$A$149,0)))</f>
        <v>Struct</v>
      </c>
      <c r="H1080">
        <v>2016</v>
      </c>
      <c r="I1080">
        <f t="shared" si="176"/>
        <v>1</v>
      </c>
      <c r="N1080"/>
      <c r="O1080" s="58"/>
      <c r="P1080" s="75"/>
      <c r="Q1080" s="58"/>
      <c r="R1080" s="58"/>
      <c r="S1080" s="58"/>
      <c r="T1080" s="58"/>
      <c r="U1080" s="58"/>
      <c r="V1080" s="14" t="str">
        <f t="shared" si="174"/>
        <v/>
      </c>
      <c r="W1080" s="77"/>
      <c r="X1080" s="85">
        <f t="shared" si="177"/>
        <v>0</v>
      </c>
      <c r="Y1080" s="21" t="str">
        <f t="shared" si="175"/>
        <v/>
      </c>
      <c r="AA1080" s="55">
        <f t="shared" si="172"/>
        <v>0</v>
      </c>
      <c r="AB1080" s="55">
        <f t="shared" si="173"/>
        <v>0</v>
      </c>
      <c r="AC1080" s="55">
        <f t="shared" si="179"/>
        <v>0</v>
      </c>
    </row>
    <row r="1081" spans="1:29">
      <c r="A1081" t="s">
        <v>84</v>
      </c>
      <c r="B1081" s="16" t="str">
        <f>INDEX(emprunts!C:C,MATCH($A1081,emprunts!A:A,0))</f>
        <v>Caisse d'Épargne</v>
      </c>
      <c r="C1081" s="18">
        <f>INDEX(emprunts!M:M,MATCH($A1081,emprunts!$A:$A,0))</f>
        <v>37865</v>
      </c>
      <c r="D1081" s="18">
        <f>IF(INDEX(emprunts!O:O,MATCH($A1081,emprunts!$A:$A,0))="",INDEX(emprunts!N:N,MATCH($A1081,emprunts!$A:$A,0)),MIN(INDEX(emprunts!N:N,MATCH($A1081,emprunts!$A:$A,0)),INDEX(emprunts!O:O,MATCH($A1081,emprunts!$A:$A,0))))</f>
        <v>38961</v>
      </c>
      <c r="E1081" s="52">
        <f>INDEX(emprunts!I:I,MATCH($A1081,emprunts!$A:$A,0))</f>
        <v>3</v>
      </c>
      <c r="F1081" s="18" t="str">
        <f>INDEX(emprunts!P:P,MATCH($A1081,emprunts!$A:$A,0))</f>
        <v>Fixe</v>
      </c>
      <c r="G1081" s="126" t="str">
        <f>IF(LEFT(A1081,3)="vx_","vx",INDEX(Categorie,MATCH($A1081,emprunts!$A$2:$A$149,0)))</f>
        <v>Non_st</v>
      </c>
      <c r="H1081">
        <v>2016</v>
      </c>
      <c r="I1081">
        <f t="shared" si="176"/>
        <v>1</v>
      </c>
      <c r="N1081"/>
      <c r="O1081" s="58"/>
      <c r="P1081" s="75"/>
      <c r="Q1081" s="58"/>
      <c r="R1081" s="58"/>
      <c r="S1081" s="58"/>
      <c r="T1081" s="58"/>
      <c r="U1081" s="58"/>
      <c r="V1081" s="14" t="str">
        <f t="shared" si="174"/>
        <v/>
      </c>
      <c r="W1081" s="77"/>
      <c r="X1081" s="85">
        <f t="shared" si="177"/>
        <v>0</v>
      </c>
      <c r="Y1081" s="21" t="str">
        <f t="shared" si="175"/>
        <v/>
      </c>
      <c r="AA1081" s="55">
        <f t="shared" si="172"/>
        <v>0</v>
      </c>
      <c r="AB1081" s="55">
        <f t="shared" si="173"/>
        <v>0</v>
      </c>
      <c r="AC1081" s="55">
        <f t="shared" si="179"/>
        <v>0</v>
      </c>
    </row>
    <row r="1082" spans="1:29">
      <c r="A1082" t="s">
        <v>86</v>
      </c>
      <c r="B1082" s="16" t="str">
        <f>INDEX(emprunts!C:C,MATCH($A1082,emprunts!A:A,0))</f>
        <v>Caisse d'Épargne</v>
      </c>
      <c r="C1082" s="18">
        <f>INDEX(emprunts!M:M,MATCH($A1082,emprunts!$A:$A,0))</f>
        <v>38022</v>
      </c>
      <c r="D1082" s="18">
        <f>IF(INDEX(emprunts!O:O,MATCH($A1082,emprunts!$A:$A,0))="",INDEX(emprunts!N:N,MATCH($A1082,emprunts!$A:$A,0)),MIN(INDEX(emprunts!N:N,MATCH($A1082,emprunts!$A:$A,0)),INDEX(emprunts!O:O,MATCH($A1082,emprunts!$A:$A,0))))</f>
        <v>40719</v>
      </c>
      <c r="E1082" s="52">
        <f>INDEX(emprunts!I:I,MATCH($A1082,emprunts!$A:$A,0))</f>
        <v>7</v>
      </c>
      <c r="F1082" s="18" t="str">
        <f>INDEX(emprunts!P:P,MATCH($A1082,emprunts!$A:$A,0))</f>
        <v>Fixe</v>
      </c>
      <c r="G1082" s="126" t="str">
        <f>IF(LEFT(A1082,3)="vx_","vx",INDEX(Categorie,MATCH($A1082,emprunts!$A$2:$A$149,0)))</f>
        <v>Non_st</v>
      </c>
      <c r="H1082">
        <v>2016</v>
      </c>
      <c r="I1082">
        <f t="shared" si="176"/>
        <v>1</v>
      </c>
      <c r="N1082"/>
      <c r="O1082" s="58"/>
      <c r="P1082" s="75"/>
      <c r="Q1082" s="58"/>
      <c r="R1082" s="58"/>
      <c r="S1082" s="58"/>
      <c r="T1082" s="58"/>
      <c r="U1082" s="58"/>
      <c r="V1082" s="14" t="str">
        <f t="shared" si="174"/>
        <v/>
      </c>
      <c r="W1082" s="77"/>
      <c r="X1082" s="85">
        <f t="shared" si="177"/>
        <v>0</v>
      </c>
      <c r="Y1082" s="21" t="str">
        <f t="shared" si="175"/>
        <v/>
      </c>
      <c r="AA1082" s="55">
        <f t="shared" si="172"/>
        <v>0</v>
      </c>
      <c r="AB1082" s="55">
        <f t="shared" si="173"/>
        <v>0</v>
      </c>
      <c r="AC1082" s="55">
        <f t="shared" si="179"/>
        <v>0</v>
      </c>
    </row>
    <row r="1083" spans="1:29">
      <c r="A1083" t="s">
        <v>88</v>
      </c>
      <c r="B1083" s="16" t="str">
        <f>INDEX(emprunts!C:C,MATCH($A1083,emprunts!A:A,0))</f>
        <v>Dexia CL</v>
      </c>
      <c r="C1083" s="18">
        <f>INDEX(emprunts!M:M,MATCH($A1083,emprunts!$A:$A,0))</f>
        <v>38077</v>
      </c>
      <c r="D1083" s="18">
        <f>IF(INDEX(emprunts!O:O,MATCH($A1083,emprunts!$A:$A,0))="",INDEX(emprunts!N:N,MATCH($A1083,emprunts!$A:$A,0)),MIN(INDEX(emprunts!N:N,MATCH($A1083,emprunts!$A:$A,0)),INDEX(emprunts!O:O,MATCH($A1083,emprunts!$A:$A,0))))</f>
        <v>39173</v>
      </c>
      <c r="E1083" s="52">
        <f>INDEX(emprunts!I:I,MATCH($A1083,emprunts!$A:$A,0))</f>
        <v>3</v>
      </c>
      <c r="F1083" s="18" t="str">
        <f>INDEX(emprunts!P:P,MATCH($A1083,emprunts!$A:$A,0))</f>
        <v>Fixe</v>
      </c>
      <c r="G1083" s="126" t="str">
        <f>IF(LEFT(A1083,3)="vx_","vx",INDEX(Categorie,MATCH($A1083,emprunts!$A$2:$A$149,0)))</f>
        <v>Non_st</v>
      </c>
      <c r="H1083">
        <v>2016</v>
      </c>
      <c r="I1083">
        <f t="shared" si="176"/>
        <v>1</v>
      </c>
      <c r="N1083"/>
      <c r="O1083" s="58"/>
      <c r="P1083" s="75"/>
      <c r="Q1083" s="58"/>
      <c r="R1083" s="58"/>
      <c r="S1083" s="58"/>
      <c r="T1083" s="58"/>
      <c r="U1083" s="58"/>
      <c r="V1083" s="14" t="str">
        <f t="shared" ref="V1083:V1141" si="180">IF(U1083="","",U1083-SUM(Q1083:S1083))</f>
        <v/>
      </c>
      <c r="W1083" s="77"/>
      <c r="X1083" s="85">
        <f t="shared" si="177"/>
        <v>0</v>
      </c>
      <c r="Y1083" s="21" t="str">
        <f t="shared" si="175"/>
        <v/>
      </c>
      <c r="AA1083" s="55">
        <f t="shared" ref="AA1083:AA1146" si="181">T1083+Q1083+S1083-SUMPRODUCT(($A$123:$A$1367=$A1083)*($H$123:$H$1367=$H1083-1),$T$123:$T$1367)</f>
        <v>0</v>
      </c>
      <c r="AB1083" s="55">
        <f t="shared" ref="AB1083:AB1146" si="182">IF(YEAR(C1083)=H1083,"",O1083+R1083+X1083-W1083-SUMPRODUCT(($A$123:$A$1367=$A1083)*($H$123:$H$1367=$H1083-1),$O$123:$O$1367))</f>
        <v>0</v>
      </c>
      <c r="AC1083" s="55">
        <f t="shared" si="179"/>
        <v>0</v>
      </c>
    </row>
    <row r="1084" spans="1:29">
      <c r="A1084" t="s">
        <v>90</v>
      </c>
      <c r="B1084" s="16" t="str">
        <f>INDEX(emprunts!C:C,MATCH($A1084,emprunts!A:A,0))</f>
        <v>Dexia CL</v>
      </c>
      <c r="C1084" s="18">
        <f>INDEX(emprunts!M:M,MATCH($A1084,emprunts!$A:$A,0))</f>
        <v>38087</v>
      </c>
      <c r="D1084" s="18">
        <f>IF(INDEX(emprunts!O:O,MATCH($A1084,emprunts!$A:$A,0))="",INDEX(emprunts!N:N,MATCH($A1084,emprunts!$A:$A,0)),MIN(INDEX(emprunts!N:N,MATCH($A1084,emprunts!$A:$A,0)),INDEX(emprunts!O:O,MATCH($A1084,emprunts!$A:$A,0))))</f>
        <v>38687</v>
      </c>
      <c r="E1084" s="52">
        <f>INDEX(emprunts!I:I,MATCH($A1084,emprunts!$A:$A,0))</f>
        <v>17.75</v>
      </c>
      <c r="F1084" s="18" t="str">
        <f>INDEX(emprunts!P:P,MATCH($A1084,emprunts!$A:$A,0))</f>
        <v>Barrière avec multiplicateur</v>
      </c>
      <c r="G1084" s="126" t="str">
        <f>IF(LEFT(A1084,3)="vx_","vx",INDEX(Categorie,MATCH($A1084,emprunts!$A$2:$A$149,0)))</f>
        <v>Struct</v>
      </c>
      <c r="H1084">
        <v>2016</v>
      </c>
      <c r="I1084">
        <f t="shared" si="176"/>
        <v>1</v>
      </c>
      <c r="N1084"/>
      <c r="O1084" s="58"/>
      <c r="P1084" s="75"/>
      <c r="Q1084" s="58"/>
      <c r="R1084" s="58"/>
      <c r="S1084" s="58"/>
      <c r="T1084" s="58"/>
      <c r="U1084" s="58"/>
      <c r="V1084" s="14" t="str">
        <f t="shared" si="180"/>
        <v/>
      </c>
      <c r="W1084" s="77"/>
      <c r="X1084" s="85">
        <f t="shared" si="177"/>
        <v>0</v>
      </c>
      <c r="Y1084" s="21" t="str">
        <f t="shared" si="175"/>
        <v/>
      </c>
      <c r="AA1084" s="55">
        <f t="shared" si="181"/>
        <v>0</v>
      </c>
      <c r="AB1084" s="55">
        <f t="shared" si="182"/>
        <v>0</v>
      </c>
      <c r="AC1084" s="55">
        <f t="shared" si="179"/>
        <v>0</v>
      </c>
    </row>
    <row r="1085" spans="1:29">
      <c r="A1085" t="s">
        <v>96</v>
      </c>
      <c r="B1085" s="16" t="str">
        <f>INDEX(emprunts!C:C,MATCH($A1085,emprunts!A:A,0))</f>
        <v>Dexia CL</v>
      </c>
      <c r="C1085" s="18">
        <f>INDEX(emprunts!M:M,MATCH($A1085,emprunts!$A:$A,0))</f>
        <v>38087</v>
      </c>
      <c r="D1085" s="18">
        <f>IF(INDEX(emprunts!O:O,MATCH($A1085,emprunts!$A:$A,0))="",INDEX(emprunts!N:N,MATCH($A1085,emprunts!$A:$A,0)),MIN(INDEX(emprunts!N:N,MATCH($A1085,emprunts!$A:$A,0)),INDEX(emprunts!O:O,MATCH($A1085,emprunts!$A:$A,0))))</f>
        <v>38534</v>
      </c>
      <c r="E1085" s="52">
        <f>INDEX(emprunts!I:I,MATCH($A1085,emprunts!$A:$A,0))</f>
        <v>15</v>
      </c>
      <c r="F1085" s="18" t="str">
        <f>INDEX(emprunts!P:P,MATCH($A1085,emprunts!$A:$A,0))</f>
        <v>Barrière hors zone EUR</v>
      </c>
      <c r="G1085" s="126" t="str">
        <f>IF(LEFT(A1085,3)="vx_","vx",INDEX(Categorie,MATCH($A1085,emprunts!$A$2:$A$149,0)))</f>
        <v>Struct</v>
      </c>
      <c r="H1085">
        <v>2016</v>
      </c>
      <c r="I1085">
        <f t="shared" si="176"/>
        <v>1</v>
      </c>
      <c r="N1085"/>
      <c r="O1085" s="58"/>
      <c r="P1085" s="75"/>
      <c r="Q1085" s="58"/>
      <c r="R1085" s="58"/>
      <c r="S1085" s="58"/>
      <c r="T1085" s="58"/>
      <c r="U1085" s="58"/>
      <c r="V1085" s="14" t="str">
        <f t="shared" si="180"/>
        <v/>
      </c>
      <c r="W1085" s="77"/>
      <c r="X1085" s="85">
        <f t="shared" si="177"/>
        <v>0</v>
      </c>
      <c r="Y1085" s="21" t="str">
        <f t="shared" ref="Y1085:Y1142" si="183">IF(AND(AA1085&gt;0,YEAR(C1085)&lt;=H1085),AA1085/AC1085,"")</f>
        <v/>
      </c>
      <c r="AA1085" s="55">
        <f t="shared" si="181"/>
        <v>0</v>
      </c>
      <c r="AB1085" s="55">
        <f t="shared" si="182"/>
        <v>0</v>
      </c>
      <c r="AC1085" s="55">
        <f t="shared" si="179"/>
        <v>0</v>
      </c>
    </row>
    <row r="1086" spans="1:29">
      <c r="A1086" t="s">
        <v>98</v>
      </c>
      <c r="B1086" s="16" t="str">
        <f>INDEX(emprunts!C:C,MATCH($A1086,emprunts!A:A,0))</f>
        <v>Dexia CL</v>
      </c>
      <c r="C1086" s="18">
        <f>INDEX(emprunts!M:M,MATCH($A1086,emprunts!$A:$A,0))</f>
        <v>38092</v>
      </c>
      <c r="D1086" s="18">
        <f>IF(INDEX(emprunts!O:O,MATCH($A1086,emprunts!$A:$A,0))="",INDEX(emprunts!N:N,MATCH($A1086,emprunts!$A:$A,0)),MIN(INDEX(emprunts!N:N,MATCH($A1086,emprunts!$A:$A,0)),INDEX(emprunts!O:O,MATCH($A1086,emprunts!$A:$A,0))))</f>
        <v>38443</v>
      </c>
      <c r="E1086" s="52">
        <f>INDEX(emprunts!I:I,MATCH($A1086,emprunts!$A:$A,0))</f>
        <v>15</v>
      </c>
      <c r="F1086" s="18" t="str">
        <f>INDEX(emprunts!P:P,MATCH($A1086,emprunts!$A:$A,0))</f>
        <v>Variable hors zone EUR</v>
      </c>
      <c r="G1086" s="126" t="str">
        <f>IF(LEFT(A1086,3)="vx_","vx",INDEX(Categorie,MATCH($A1086,emprunts!$A$2:$A$149,0)))</f>
        <v>Struct</v>
      </c>
      <c r="H1086">
        <v>2016</v>
      </c>
      <c r="I1086">
        <f t="shared" si="176"/>
        <v>1</v>
      </c>
      <c r="N1086"/>
      <c r="O1086" s="58"/>
      <c r="P1086" s="75"/>
      <c r="Q1086" s="58"/>
      <c r="R1086" s="58"/>
      <c r="S1086" s="58"/>
      <c r="T1086" s="58"/>
      <c r="U1086" s="58"/>
      <c r="V1086" s="14" t="str">
        <f t="shared" si="180"/>
        <v/>
      </c>
      <c r="W1086" s="77"/>
      <c r="X1086" s="85">
        <f t="shared" si="177"/>
        <v>0</v>
      </c>
      <c r="Y1086" s="21" t="str">
        <f t="shared" si="183"/>
        <v/>
      </c>
      <c r="AA1086" s="55">
        <f t="shared" si="181"/>
        <v>0</v>
      </c>
      <c r="AB1086" s="55">
        <f t="shared" si="182"/>
        <v>0</v>
      </c>
      <c r="AC1086" s="55">
        <f t="shared" si="179"/>
        <v>0</v>
      </c>
    </row>
    <row r="1087" spans="1:29">
      <c r="A1087" t="s">
        <v>101</v>
      </c>
      <c r="B1087" s="16" t="str">
        <f>INDEX(emprunts!C:C,MATCH($A1087,emprunts!A:A,0))</f>
        <v>Dexia CL</v>
      </c>
      <c r="C1087" s="18">
        <f>INDEX(emprunts!M:M,MATCH($A1087,emprunts!$A:$A,0))</f>
        <v>38106</v>
      </c>
      <c r="D1087" s="18">
        <f>IF(INDEX(emprunts!O:O,MATCH($A1087,emprunts!$A:$A,0))="",INDEX(emprunts!N:N,MATCH($A1087,emprunts!$A:$A,0)),MIN(INDEX(emprunts!N:N,MATCH($A1087,emprunts!$A:$A,0)),INDEX(emprunts!O:O,MATCH($A1087,emprunts!$A:$A,0))))</f>
        <v>39203</v>
      </c>
      <c r="E1087" s="52">
        <f>INDEX(emprunts!I:I,MATCH($A1087,emprunts!$A:$A,0))</f>
        <v>21</v>
      </c>
      <c r="F1087" s="18" t="str">
        <f>INDEX(emprunts!P:P,MATCH($A1087,emprunts!$A:$A,0))</f>
        <v>Barrière</v>
      </c>
      <c r="G1087" s="126" t="str">
        <f>IF(LEFT(A1087,3)="vx_","vx",INDEX(Categorie,MATCH($A1087,emprunts!$A$2:$A$149,0)))</f>
        <v>Struct</v>
      </c>
      <c r="H1087">
        <v>2016</v>
      </c>
      <c r="I1087">
        <f t="shared" ref="I1087:I1139" si="184">1*(C1087&lt;DATE(H1087,12,31))</f>
        <v>1</v>
      </c>
      <c r="N1087"/>
      <c r="O1087" s="58"/>
      <c r="P1087" s="75"/>
      <c r="Q1087" s="58"/>
      <c r="R1087" s="58"/>
      <c r="S1087" s="58"/>
      <c r="T1087" s="58"/>
      <c r="U1087" s="58"/>
      <c r="V1087" s="14" t="str">
        <f t="shared" si="180"/>
        <v/>
      </c>
      <c r="W1087" s="77"/>
      <c r="X1087" s="85">
        <f t="shared" ref="X1087:X1139" si="185">SUMPRODUCT((De=$A1087)*(année_refi=$H1087),Montant_transfere)</f>
        <v>0</v>
      </c>
      <c r="Y1087" s="21" t="str">
        <f t="shared" si="183"/>
        <v/>
      </c>
      <c r="AA1087" s="55">
        <f t="shared" si="181"/>
        <v>0</v>
      </c>
      <c r="AB1087" s="55">
        <f t="shared" si="182"/>
        <v>0</v>
      </c>
      <c r="AC1087" s="55">
        <f t="shared" si="179"/>
        <v>0</v>
      </c>
    </row>
    <row r="1088" spans="1:29">
      <c r="A1088" t="s">
        <v>105</v>
      </c>
      <c r="B1088" s="16" t="str">
        <f>INDEX(emprunts!C:C,MATCH($A1088,emprunts!A:A,0))</f>
        <v>Dexia CL</v>
      </c>
      <c r="C1088" s="18">
        <f>INDEX(emprunts!M:M,MATCH($A1088,emprunts!$A:$A,0))</f>
        <v>38153</v>
      </c>
      <c r="D1088" s="18">
        <f>IF(INDEX(emprunts!O:O,MATCH($A1088,emprunts!$A:$A,0))="",INDEX(emprunts!N:N,MATCH($A1088,emprunts!$A:$A,0)),MIN(INDEX(emprunts!N:N,MATCH($A1088,emprunts!$A:$A,0)),INDEX(emprunts!O:O,MATCH($A1088,emprunts!$A:$A,0))))</f>
        <v>38384</v>
      </c>
      <c r="E1088" s="52">
        <f>INDEX(emprunts!I:I,MATCH($A1088,emprunts!$A:$A,0))</f>
        <v>10</v>
      </c>
      <c r="F1088" s="18" t="str">
        <f>INDEX(emprunts!P:P,MATCH($A1088,emprunts!$A:$A,0))</f>
        <v>Change</v>
      </c>
      <c r="G1088" s="126" t="str">
        <f>IF(LEFT(A1088,3)="vx_","vx",INDEX(Categorie,MATCH($A1088,emprunts!$A$2:$A$149,0)))</f>
        <v>Struct</v>
      </c>
      <c r="H1088">
        <v>2016</v>
      </c>
      <c r="I1088">
        <f t="shared" si="184"/>
        <v>1</v>
      </c>
      <c r="N1088"/>
      <c r="O1088" s="58"/>
      <c r="P1088" s="75"/>
      <c r="Q1088" s="58"/>
      <c r="R1088" s="58"/>
      <c r="S1088" s="58"/>
      <c r="T1088" s="58"/>
      <c r="U1088" s="58"/>
      <c r="V1088" s="14" t="str">
        <f t="shared" si="180"/>
        <v/>
      </c>
      <c r="W1088" s="77"/>
      <c r="X1088" s="85">
        <f t="shared" si="185"/>
        <v>0</v>
      </c>
      <c r="Y1088" s="21" t="str">
        <f t="shared" si="183"/>
        <v/>
      </c>
      <c r="AA1088" s="55">
        <f t="shared" si="181"/>
        <v>0</v>
      </c>
      <c r="AB1088" s="55">
        <f t="shared" si="182"/>
        <v>0</v>
      </c>
      <c r="AC1088" s="55">
        <f t="shared" si="179"/>
        <v>0</v>
      </c>
    </row>
    <row r="1089" spans="1:29">
      <c r="A1089" t="s">
        <v>108</v>
      </c>
      <c r="B1089" s="16" t="str">
        <f>INDEX(emprunts!C:C,MATCH($A1089,emprunts!A:A,0))</f>
        <v>Dexia CL</v>
      </c>
      <c r="C1089" s="18">
        <f>INDEX(emprunts!M:M,MATCH($A1089,emprunts!$A:$A,0))</f>
        <v>38193</v>
      </c>
      <c r="D1089" s="18">
        <f>IF(INDEX(emprunts!O:O,MATCH($A1089,emprunts!$A:$A,0))="",INDEX(emprunts!N:N,MATCH($A1089,emprunts!$A:$A,0)),MIN(INDEX(emprunts!N:N,MATCH($A1089,emprunts!$A:$A,0)),INDEX(emprunts!O:O,MATCH($A1089,emprunts!$A:$A,0))))</f>
        <v>38777</v>
      </c>
      <c r="E1089" s="52">
        <f>INDEX(emprunts!I:I,MATCH($A1089,emprunts!$A:$A,0))</f>
        <v>18</v>
      </c>
      <c r="F1089" s="18" t="str">
        <f>INDEX(emprunts!P:P,MATCH($A1089,emprunts!$A:$A,0))</f>
        <v>Pente</v>
      </c>
      <c r="G1089" s="126" t="str">
        <f>IF(LEFT(A1089,3)="vx_","vx",INDEX(Categorie,MATCH($A1089,emprunts!$A$2:$A$149,0)))</f>
        <v>Struct</v>
      </c>
      <c r="H1089">
        <v>2016</v>
      </c>
      <c r="I1089">
        <f t="shared" si="184"/>
        <v>1</v>
      </c>
      <c r="N1089"/>
      <c r="O1089" s="58"/>
      <c r="P1089" s="75"/>
      <c r="Q1089" s="58"/>
      <c r="R1089" s="58"/>
      <c r="S1089" s="58"/>
      <c r="T1089" s="58"/>
      <c r="U1089" s="58"/>
      <c r="V1089" s="14" t="str">
        <f t="shared" si="180"/>
        <v/>
      </c>
      <c r="W1089" s="77"/>
      <c r="X1089" s="85">
        <f t="shared" si="185"/>
        <v>0</v>
      </c>
      <c r="Y1089" s="21" t="str">
        <f t="shared" si="183"/>
        <v/>
      </c>
      <c r="AA1089" s="55">
        <f t="shared" si="181"/>
        <v>0</v>
      </c>
      <c r="AB1089" s="55">
        <f t="shared" si="182"/>
        <v>0</v>
      </c>
      <c r="AC1089" s="55">
        <f t="shared" si="179"/>
        <v>0</v>
      </c>
    </row>
    <row r="1090" spans="1:29">
      <c r="A1090" t="s">
        <v>117</v>
      </c>
      <c r="B1090" s="16" t="str">
        <f>INDEX(emprunts!C:C,MATCH($A1090,emprunts!A:A,0))</f>
        <v>Dexia CL</v>
      </c>
      <c r="C1090" s="18">
        <f>INDEX(emprunts!M:M,MATCH($A1090,emprunts!$A:$A,0))</f>
        <v>38406</v>
      </c>
      <c r="D1090" s="18">
        <f>IF(INDEX(emprunts!O:O,MATCH($A1090,emprunts!$A:$A,0))="",INDEX(emprunts!N:N,MATCH($A1090,emprunts!$A:$A,0)),MIN(INDEX(emprunts!N:N,MATCH($A1090,emprunts!$A:$A,0)),INDEX(emprunts!O:O,MATCH($A1090,emprunts!$A:$A,0))))</f>
        <v>39114</v>
      </c>
      <c r="E1090" s="52">
        <f>INDEX(emprunts!I:I,MATCH($A1090,emprunts!$A:$A,0))</f>
        <v>17</v>
      </c>
      <c r="F1090" s="18" t="str">
        <f>INDEX(emprunts!P:P,MATCH($A1090,emprunts!$A:$A,0))</f>
        <v>Barrière avec multiplicateur</v>
      </c>
      <c r="G1090" s="126" t="str">
        <f>IF(LEFT(A1090,3)="vx_","vx",INDEX(Categorie,MATCH($A1090,emprunts!$A$2:$A$149,0)))</f>
        <v>Struct</v>
      </c>
      <c r="H1090">
        <v>2016</v>
      </c>
      <c r="I1090">
        <f t="shared" si="184"/>
        <v>1</v>
      </c>
      <c r="N1090"/>
      <c r="O1090" s="58"/>
      <c r="P1090" s="75"/>
      <c r="Q1090" s="58"/>
      <c r="R1090" s="58"/>
      <c r="S1090" s="58"/>
      <c r="T1090" s="58"/>
      <c r="U1090" s="58"/>
      <c r="V1090" s="14" t="str">
        <f t="shared" si="180"/>
        <v/>
      </c>
      <c r="W1090" s="77"/>
      <c r="X1090" s="85">
        <f t="shared" si="185"/>
        <v>0</v>
      </c>
      <c r="Y1090" s="21" t="str">
        <f t="shared" si="183"/>
        <v/>
      </c>
      <c r="AA1090" s="55">
        <f t="shared" si="181"/>
        <v>0</v>
      </c>
      <c r="AB1090" s="55">
        <f t="shared" si="182"/>
        <v>0</v>
      </c>
      <c r="AC1090" s="55">
        <f t="shared" si="179"/>
        <v>0</v>
      </c>
    </row>
    <row r="1091" spans="1:29">
      <c r="A1091" t="s">
        <v>121</v>
      </c>
      <c r="B1091" s="16" t="str">
        <f>INDEX(emprunts!C:C,MATCH($A1091,emprunts!A:A,0))</f>
        <v>Dexia CL</v>
      </c>
      <c r="C1091" s="18">
        <f>INDEX(emprunts!M:M,MATCH($A1091,emprunts!$A:$A,0))</f>
        <v>38406</v>
      </c>
      <c r="D1091" s="18">
        <f>IF(INDEX(emprunts!O:O,MATCH($A1091,emprunts!$A:$A,0))="",INDEX(emprunts!N:N,MATCH($A1091,emprunts!$A:$A,0)),MIN(INDEX(emprunts!N:N,MATCH($A1091,emprunts!$A:$A,0)),INDEX(emprunts!O:O,MATCH($A1091,emprunts!$A:$A,0))))</f>
        <v>39203</v>
      </c>
      <c r="E1091" s="52">
        <f>INDEX(emprunts!I:I,MATCH($A1091,emprunts!$A:$A,0))</f>
        <v>15</v>
      </c>
      <c r="F1091" s="18" t="str">
        <f>INDEX(emprunts!P:P,MATCH($A1091,emprunts!$A:$A,0))</f>
        <v>Variable hors zone EUR</v>
      </c>
      <c r="G1091" s="126" t="str">
        <f>IF(LEFT(A1091,3)="vx_","vx",INDEX(Categorie,MATCH($A1091,emprunts!$A$2:$A$149,0)))</f>
        <v>Struct</v>
      </c>
      <c r="H1091">
        <v>2016</v>
      </c>
      <c r="I1091">
        <f t="shared" si="184"/>
        <v>1</v>
      </c>
      <c r="N1091"/>
      <c r="O1091" s="58"/>
      <c r="P1091" s="75"/>
      <c r="Q1091" s="58"/>
      <c r="R1091" s="58"/>
      <c r="S1091" s="58"/>
      <c r="T1091" s="58"/>
      <c r="U1091" s="58"/>
      <c r="V1091" s="14" t="str">
        <f t="shared" si="180"/>
        <v/>
      </c>
      <c r="W1091" s="77"/>
      <c r="X1091" s="85">
        <f t="shared" si="185"/>
        <v>0</v>
      </c>
      <c r="Y1091" s="21" t="str">
        <f t="shared" si="183"/>
        <v/>
      </c>
      <c r="AA1091" s="55">
        <f t="shared" si="181"/>
        <v>0</v>
      </c>
      <c r="AB1091" s="55">
        <f t="shared" si="182"/>
        <v>0</v>
      </c>
      <c r="AC1091" s="55">
        <f t="shared" si="179"/>
        <v>0</v>
      </c>
    </row>
    <row r="1092" spans="1:29">
      <c r="A1092" t="s">
        <v>123</v>
      </c>
      <c r="B1092" s="16" t="str">
        <f>INDEX(emprunts!C:C,MATCH($A1092,emprunts!A:A,0))</f>
        <v>Crédit Mutuel</v>
      </c>
      <c r="C1092" s="18">
        <f>INDEX(emprunts!M:M,MATCH($A1092,emprunts!$A:$A,0))</f>
        <v>38435</v>
      </c>
      <c r="D1092" s="18">
        <f>IF(INDEX(emprunts!O:O,MATCH($A1092,emprunts!$A:$A,0))="",INDEX(emprunts!N:N,MATCH($A1092,emprunts!$A:$A,0)),MIN(INDEX(emprunts!N:N,MATCH($A1092,emprunts!$A:$A,0)),INDEX(emprunts!O:O,MATCH($A1092,emprunts!$A:$A,0))))</f>
        <v>40260</v>
      </c>
      <c r="E1092" s="52">
        <f>INDEX(emprunts!I:I,MATCH($A1092,emprunts!$A:$A,0))</f>
        <v>5</v>
      </c>
      <c r="F1092" s="18" t="str">
        <f>INDEX(emprunts!P:P,MATCH($A1092,emprunts!$A:$A,0))</f>
        <v>Fixe</v>
      </c>
      <c r="G1092" s="126" t="str">
        <f>IF(LEFT(A1092,3)="vx_","vx",INDEX(Categorie,MATCH($A1092,emprunts!$A$2:$A$149,0)))</f>
        <v>Non_st</v>
      </c>
      <c r="H1092">
        <v>2016</v>
      </c>
      <c r="I1092">
        <f t="shared" si="184"/>
        <v>1</v>
      </c>
      <c r="N1092"/>
      <c r="O1092" s="58"/>
      <c r="P1092" s="75"/>
      <c r="Q1092" s="58"/>
      <c r="R1092" s="58"/>
      <c r="S1092" s="58"/>
      <c r="T1092" s="58"/>
      <c r="U1092" s="58"/>
      <c r="V1092" s="14" t="str">
        <f t="shared" si="180"/>
        <v/>
      </c>
      <c r="W1092" s="77"/>
      <c r="X1092" s="85">
        <f t="shared" si="185"/>
        <v>0</v>
      </c>
      <c r="Y1092" s="21" t="str">
        <f t="shared" si="183"/>
        <v/>
      </c>
      <c r="AA1092" s="55">
        <f t="shared" si="181"/>
        <v>0</v>
      </c>
      <c r="AB1092" s="55">
        <f t="shared" si="182"/>
        <v>0</v>
      </c>
      <c r="AC1092" s="55">
        <f t="shared" si="179"/>
        <v>0</v>
      </c>
    </row>
    <row r="1093" spans="1:29">
      <c r="A1093" t="s">
        <v>125</v>
      </c>
      <c r="B1093" s="16" t="str">
        <f>INDEX(emprunts!C:C,MATCH($A1093,emprunts!A:A,0))</f>
        <v>Dexia CL</v>
      </c>
      <c r="C1093" s="18">
        <f>INDEX(emprunts!M:M,MATCH($A1093,emprunts!$A:$A,0))</f>
        <v>38443</v>
      </c>
      <c r="D1093" s="18">
        <f>IF(INDEX(emprunts!O:O,MATCH($A1093,emprunts!$A:$A,0))="",INDEX(emprunts!N:N,MATCH($A1093,emprunts!$A:$A,0)),MIN(INDEX(emprunts!N:N,MATCH($A1093,emprunts!$A:$A,0)),INDEX(emprunts!O:O,MATCH($A1093,emprunts!$A:$A,0))))</f>
        <v>38899</v>
      </c>
      <c r="E1093" s="52">
        <f>INDEX(emprunts!I:I,MATCH($A1093,emprunts!$A:$A,0))</f>
        <v>19</v>
      </c>
      <c r="F1093" s="18" t="str">
        <f>INDEX(emprunts!P:P,MATCH($A1093,emprunts!$A:$A,0))</f>
        <v>Change</v>
      </c>
      <c r="G1093" s="126" t="str">
        <f>IF(LEFT(A1093,3)="vx_","vx",INDEX(Categorie,MATCH($A1093,emprunts!$A$2:$A$149,0)))</f>
        <v>Struct</v>
      </c>
      <c r="H1093">
        <v>2016</v>
      </c>
      <c r="I1093">
        <f t="shared" si="184"/>
        <v>1</v>
      </c>
      <c r="N1093"/>
      <c r="O1093" s="58"/>
      <c r="P1093" s="75"/>
      <c r="Q1093" s="58"/>
      <c r="R1093" s="58"/>
      <c r="S1093" s="58"/>
      <c r="T1093" s="58"/>
      <c r="U1093" s="58"/>
      <c r="V1093" s="14" t="str">
        <f t="shared" si="180"/>
        <v/>
      </c>
      <c r="W1093" s="77"/>
      <c r="X1093" s="85">
        <f t="shared" si="185"/>
        <v>0</v>
      </c>
      <c r="Y1093" s="21" t="str">
        <f t="shared" si="183"/>
        <v/>
      </c>
      <c r="AA1093" s="55">
        <f t="shared" si="181"/>
        <v>0</v>
      </c>
      <c r="AB1093" s="55">
        <f t="shared" si="182"/>
        <v>0</v>
      </c>
      <c r="AC1093" s="55">
        <f t="shared" si="179"/>
        <v>0</v>
      </c>
    </row>
    <row r="1094" spans="1:29">
      <c r="A1094" t="s">
        <v>180</v>
      </c>
      <c r="B1094" s="16" t="str">
        <f>INDEX(emprunts!C:C,MATCH($A1094,emprunts!A:A,0))</f>
        <v>Dexia CL</v>
      </c>
      <c r="C1094" s="18">
        <f>INDEX(emprunts!M:M,MATCH($A1094,emprunts!$A:$A,0))</f>
        <v>38443</v>
      </c>
      <c r="D1094" s="18">
        <f>IF(INDEX(emprunts!O:O,MATCH($A1094,emprunts!$A:$A,0))="",INDEX(emprunts!N:N,MATCH($A1094,emprunts!$A:$A,0)),MIN(INDEX(emprunts!N:N,MATCH($A1094,emprunts!$A:$A,0)),INDEX(emprunts!O:O,MATCH($A1094,emprunts!$A:$A,0))))</f>
        <v>39203</v>
      </c>
      <c r="E1094" s="52">
        <f>INDEX(emprunts!I:I,MATCH($A1094,emprunts!$A:$A,0))</f>
        <v>15</v>
      </c>
      <c r="F1094" s="18" t="str">
        <f>INDEX(emprunts!P:P,MATCH($A1094,emprunts!$A:$A,0))</f>
        <v>Change</v>
      </c>
      <c r="G1094" s="126" t="str">
        <f>IF(LEFT(A1094,3)="vx_","vx",INDEX(Categorie,MATCH($A1094,emprunts!$A$2:$A$149,0)))</f>
        <v>Struct</v>
      </c>
      <c r="H1094">
        <v>2016</v>
      </c>
      <c r="I1094">
        <f t="shared" si="184"/>
        <v>1</v>
      </c>
      <c r="N1094"/>
      <c r="O1094" s="58"/>
      <c r="P1094" s="75"/>
      <c r="Q1094" s="58"/>
      <c r="R1094" s="58"/>
      <c r="S1094" s="58"/>
      <c r="T1094" s="58"/>
      <c r="U1094" s="58"/>
      <c r="V1094" s="14" t="str">
        <f t="shared" si="180"/>
        <v/>
      </c>
      <c r="W1094" s="77"/>
      <c r="X1094" s="85">
        <f t="shared" si="185"/>
        <v>0</v>
      </c>
      <c r="Y1094" s="21" t="str">
        <f t="shared" si="183"/>
        <v/>
      </c>
      <c r="AA1094" s="55">
        <f t="shared" si="181"/>
        <v>0</v>
      </c>
      <c r="AB1094" s="55">
        <f t="shared" si="182"/>
        <v>0</v>
      </c>
      <c r="AC1094" s="55">
        <f t="shared" si="179"/>
        <v>0</v>
      </c>
    </row>
    <row r="1095" spans="1:29">
      <c r="A1095" t="s">
        <v>183</v>
      </c>
      <c r="B1095" s="16" t="str">
        <f>INDEX(emprunts!C:C,MATCH($A1095,emprunts!A:A,0))</f>
        <v>CDC</v>
      </c>
      <c r="C1095" s="18">
        <f>INDEX(emprunts!M:M,MATCH($A1095,emprunts!$A:$A,0))</f>
        <v>38473</v>
      </c>
      <c r="D1095" s="18">
        <f>IF(INDEX(emprunts!O:O,MATCH($A1095,emprunts!$A:$A,0))="",INDEX(emprunts!N:N,MATCH($A1095,emprunts!$A:$A,0)),MIN(INDEX(emprunts!N:N,MATCH($A1095,emprunts!$A:$A,0)),INDEX(emprunts!O:O,MATCH($A1095,emprunts!$A:$A,0))))</f>
        <v>40663</v>
      </c>
      <c r="E1095" s="52">
        <f>INDEX(emprunts!I:I,MATCH($A1095,emprunts!$A:$A,0))</f>
        <v>6</v>
      </c>
      <c r="F1095" s="18" t="str">
        <f>INDEX(emprunts!P:P,MATCH($A1095,emprunts!$A:$A,0))</f>
        <v>Variable</v>
      </c>
      <c r="G1095" s="126" t="str">
        <f>IF(LEFT(A1095,3)="vx_","vx",INDEX(Categorie,MATCH($A1095,emprunts!$A$2:$A$149,0)))</f>
        <v>Non_st</v>
      </c>
      <c r="H1095">
        <v>2016</v>
      </c>
      <c r="I1095">
        <f t="shared" si="184"/>
        <v>1</v>
      </c>
      <c r="N1095"/>
      <c r="O1095" s="58"/>
      <c r="P1095" s="75"/>
      <c r="Q1095" s="58"/>
      <c r="R1095" s="58"/>
      <c r="S1095" s="58"/>
      <c r="T1095" s="58"/>
      <c r="U1095" s="58"/>
      <c r="V1095" s="14" t="str">
        <f t="shared" si="180"/>
        <v/>
      </c>
      <c r="W1095" s="77"/>
      <c r="X1095" s="85">
        <f t="shared" si="185"/>
        <v>0</v>
      </c>
      <c r="Y1095" s="21" t="str">
        <f t="shared" si="183"/>
        <v/>
      </c>
      <c r="AA1095" s="55">
        <f t="shared" si="181"/>
        <v>0</v>
      </c>
      <c r="AB1095" s="55">
        <f t="shared" si="182"/>
        <v>0</v>
      </c>
      <c r="AC1095" s="55">
        <f t="shared" si="179"/>
        <v>0</v>
      </c>
    </row>
    <row r="1096" spans="1:29">
      <c r="A1096" t="s">
        <v>185</v>
      </c>
      <c r="B1096" s="16" t="str">
        <f>INDEX(emprunts!C:C,MATCH($A1096,emprunts!A:A,0))</f>
        <v>CDC</v>
      </c>
      <c r="C1096" s="18">
        <f>INDEX(emprunts!M:M,MATCH($A1096,emprunts!$A:$A,0))</f>
        <v>38473</v>
      </c>
      <c r="D1096" s="18">
        <f>IF(INDEX(emprunts!O:O,MATCH($A1096,emprunts!$A:$A,0))="",INDEX(emprunts!N:N,MATCH($A1096,emprunts!$A:$A,0)),MIN(INDEX(emprunts!N:N,MATCH($A1096,emprunts!$A:$A,0)),INDEX(emprunts!O:O,MATCH($A1096,emprunts!$A:$A,0))))</f>
        <v>41393</v>
      </c>
      <c r="E1096" s="52">
        <f>INDEX(emprunts!I:I,MATCH($A1096,emprunts!$A:$A,0))</f>
        <v>8</v>
      </c>
      <c r="F1096" s="18" t="str">
        <f>INDEX(emprunts!P:P,MATCH($A1096,emprunts!$A:$A,0))</f>
        <v>Variable</v>
      </c>
      <c r="G1096" s="126" t="str">
        <f>IF(LEFT(A1096,3)="vx_","vx",INDEX(Categorie,MATCH($A1096,emprunts!$A$2:$A$149,0)))</f>
        <v>Non_st</v>
      </c>
      <c r="H1096">
        <v>2016</v>
      </c>
      <c r="I1096">
        <f t="shared" si="184"/>
        <v>1</v>
      </c>
      <c r="N1096"/>
      <c r="O1096" s="58"/>
      <c r="P1096" s="75"/>
      <c r="Q1096" s="58"/>
      <c r="R1096" s="58"/>
      <c r="S1096" s="58"/>
      <c r="T1096" s="58"/>
      <c r="U1096" s="58"/>
      <c r="V1096" s="14" t="str">
        <f t="shared" si="180"/>
        <v/>
      </c>
      <c r="W1096" s="77"/>
      <c r="X1096" s="85">
        <f t="shared" si="185"/>
        <v>0</v>
      </c>
      <c r="Y1096" s="21" t="str">
        <f t="shared" si="183"/>
        <v/>
      </c>
      <c r="AA1096" s="55">
        <f t="shared" si="181"/>
        <v>0</v>
      </c>
      <c r="AB1096" s="55">
        <f t="shared" si="182"/>
        <v>0</v>
      </c>
      <c r="AC1096" s="55">
        <f t="shared" si="179"/>
        <v>0</v>
      </c>
    </row>
    <row r="1097" spans="1:29">
      <c r="A1097" t="s">
        <v>186</v>
      </c>
      <c r="B1097" s="16" t="str">
        <f>INDEX(emprunts!C:C,MATCH($A1097,emprunts!A:A,0))</f>
        <v>Dexia CL</v>
      </c>
      <c r="C1097" s="18">
        <f>INDEX(emprunts!M:M,MATCH($A1097,emprunts!$A:$A,0))</f>
        <v>38504</v>
      </c>
      <c r="D1097" s="18">
        <f>IF(INDEX(emprunts!O:O,MATCH($A1097,emprunts!$A:$A,0))="",INDEX(emprunts!N:N,MATCH($A1097,emprunts!$A:$A,0)),MIN(INDEX(emprunts!N:N,MATCH($A1097,emprunts!$A:$A,0)),INDEX(emprunts!O:O,MATCH($A1097,emprunts!$A:$A,0))))</f>
        <v>38805</v>
      </c>
      <c r="E1097" s="52">
        <f>INDEX(emprunts!I:I,MATCH($A1097,emprunts!$A:$A,0))</f>
        <v>17.25</v>
      </c>
      <c r="F1097" s="18" t="str">
        <f>INDEX(emprunts!P:P,MATCH($A1097,emprunts!$A:$A,0))</f>
        <v>Change</v>
      </c>
      <c r="G1097" s="126" t="str">
        <f>IF(LEFT(A1097,3)="vx_","vx",INDEX(Categorie,MATCH($A1097,emprunts!$A$2:$A$149,0)))</f>
        <v>Struct</v>
      </c>
      <c r="H1097">
        <v>2016</v>
      </c>
      <c r="I1097">
        <f t="shared" si="184"/>
        <v>1</v>
      </c>
      <c r="N1097"/>
      <c r="O1097" s="58"/>
      <c r="P1097" s="75"/>
      <c r="Q1097" s="58"/>
      <c r="R1097" s="58"/>
      <c r="S1097" s="58"/>
      <c r="T1097" s="58"/>
      <c r="U1097" s="58"/>
      <c r="V1097" s="14" t="str">
        <f t="shared" si="180"/>
        <v/>
      </c>
      <c r="W1097" s="77"/>
      <c r="X1097" s="85">
        <f t="shared" si="185"/>
        <v>0</v>
      </c>
      <c r="Y1097" s="21" t="str">
        <f t="shared" si="183"/>
        <v/>
      </c>
      <c r="AA1097" s="55">
        <f t="shared" si="181"/>
        <v>0</v>
      </c>
      <c r="AB1097" s="55">
        <f t="shared" si="182"/>
        <v>0</v>
      </c>
      <c r="AC1097" s="55">
        <f t="shared" si="179"/>
        <v>0</v>
      </c>
    </row>
    <row r="1098" spans="1:29">
      <c r="A1098" t="s">
        <v>187</v>
      </c>
      <c r="B1098" s="16" t="str">
        <f>INDEX(emprunts!C:C,MATCH($A1098,emprunts!A:A,0))</f>
        <v>Dexia CL</v>
      </c>
      <c r="C1098" s="18">
        <f>INDEX(emprunts!M:M,MATCH($A1098,emprunts!$A:$A,0))</f>
        <v>38534</v>
      </c>
      <c r="D1098" s="18">
        <f>IF(INDEX(emprunts!O:O,MATCH($A1098,emprunts!$A:$A,0))="",INDEX(emprunts!N:N,MATCH($A1098,emprunts!$A:$A,0)),MIN(INDEX(emprunts!N:N,MATCH($A1098,emprunts!$A:$A,0)),INDEX(emprunts!O:O,MATCH($A1098,emprunts!$A:$A,0))))</f>
        <v>38899</v>
      </c>
      <c r="E1098" s="52">
        <f>INDEX(emprunts!I:I,MATCH($A1098,emprunts!$A:$A,0))</f>
        <v>16</v>
      </c>
      <c r="F1098" s="18" t="str">
        <f>INDEX(emprunts!P:P,MATCH($A1098,emprunts!$A:$A,0))</f>
        <v>Pente</v>
      </c>
      <c r="G1098" s="126" t="str">
        <f>IF(LEFT(A1098,3)="vx_","vx",INDEX(Categorie,MATCH($A1098,emprunts!$A$2:$A$149,0)))</f>
        <v>Struct</v>
      </c>
      <c r="H1098">
        <v>2016</v>
      </c>
      <c r="I1098">
        <f t="shared" si="184"/>
        <v>1</v>
      </c>
      <c r="N1098"/>
      <c r="O1098" s="58"/>
      <c r="P1098" s="75"/>
      <c r="Q1098" s="58"/>
      <c r="R1098" s="58"/>
      <c r="S1098" s="58"/>
      <c r="T1098" s="58"/>
      <c r="U1098" s="58"/>
      <c r="V1098" s="14" t="str">
        <f t="shared" si="180"/>
        <v/>
      </c>
      <c r="W1098" s="77"/>
      <c r="X1098" s="85">
        <f t="shared" si="185"/>
        <v>0</v>
      </c>
      <c r="Y1098" s="21" t="str">
        <f t="shared" si="183"/>
        <v/>
      </c>
      <c r="AA1098" s="55">
        <f t="shared" si="181"/>
        <v>0</v>
      </c>
      <c r="AB1098" s="55">
        <f t="shared" si="182"/>
        <v>0</v>
      </c>
      <c r="AC1098" s="55">
        <f t="shared" si="179"/>
        <v>0</v>
      </c>
    </row>
    <row r="1099" spans="1:29">
      <c r="A1099" t="s">
        <v>193</v>
      </c>
      <c r="B1099" s="16" t="str">
        <f>INDEX(emprunts!C:C,MATCH($A1099,emprunts!A:A,0))</f>
        <v>Dexia CL</v>
      </c>
      <c r="C1099" s="18">
        <f>INDEX(emprunts!M:M,MATCH($A1099,emprunts!$A:$A,0))</f>
        <v>38687</v>
      </c>
      <c r="D1099" s="18">
        <f>IF(INDEX(emprunts!O:O,MATCH($A1099,emprunts!$A:$A,0))="",INDEX(emprunts!N:N,MATCH($A1099,emprunts!$A:$A,0)),MIN(INDEX(emprunts!N:N,MATCH($A1099,emprunts!$A:$A,0)),INDEX(emprunts!O:O,MATCH($A1099,emprunts!$A:$A,0))))</f>
        <v>38805</v>
      </c>
      <c r="E1099" s="52">
        <f>INDEX(emprunts!I:I,MATCH($A1099,emprunts!$A:$A,0))</f>
        <v>16</v>
      </c>
      <c r="F1099" s="18" t="str">
        <f>INDEX(emprunts!P:P,MATCH($A1099,emprunts!$A:$A,0))</f>
        <v>Pente</v>
      </c>
      <c r="G1099" s="126" t="str">
        <f>IF(LEFT(A1099,3)="vx_","vx",INDEX(Categorie,MATCH($A1099,emprunts!$A$2:$A$149,0)))</f>
        <v>Struct</v>
      </c>
      <c r="H1099">
        <v>2016</v>
      </c>
      <c r="I1099">
        <f t="shared" si="184"/>
        <v>1</v>
      </c>
      <c r="N1099"/>
      <c r="O1099" s="58"/>
      <c r="P1099" s="75"/>
      <c r="Q1099" s="58"/>
      <c r="R1099" s="58"/>
      <c r="S1099" s="58"/>
      <c r="T1099" s="58"/>
      <c r="U1099" s="58"/>
      <c r="V1099" s="14" t="str">
        <f t="shared" si="180"/>
        <v/>
      </c>
      <c r="W1099" s="77"/>
      <c r="X1099" s="85">
        <f t="shared" si="185"/>
        <v>0</v>
      </c>
      <c r="Y1099" s="21" t="str">
        <f t="shared" si="183"/>
        <v/>
      </c>
      <c r="AA1099" s="55">
        <f t="shared" si="181"/>
        <v>0</v>
      </c>
      <c r="AB1099" s="55">
        <f t="shared" si="182"/>
        <v>0</v>
      </c>
      <c r="AC1099" s="55">
        <f t="shared" si="179"/>
        <v>0</v>
      </c>
    </row>
    <row r="1100" spans="1:29">
      <c r="A1100" t="s">
        <v>195</v>
      </c>
      <c r="B1100" s="16" t="str">
        <f>INDEX(emprunts!C:C,MATCH($A1100,emprunts!A:A,0))</f>
        <v>Dexia CL</v>
      </c>
      <c r="C1100" s="18">
        <f>INDEX(emprunts!M:M,MATCH($A1100,emprunts!$A:$A,0))</f>
        <v>38709</v>
      </c>
      <c r="D1100" s="18">
        <f>IF(INDEX(emprunts!O:O,MATCH($A1100,emprunts!$A:$A,0))="",INDEX(emprunts!N:N,MATCH($A1100,emprunts!$A:$A,0)),MIN(INDEX(emprunts!N:N,MATCH($A1100,emprunts!$A:$A,0)),INDEX(emprunts!O:O,MATCH($A1100,emprunts!$A:$A,0))))</f>
        <v>39203</v>
      </c>
      <c r="E1100" s="52">
        <f>INDEX(emprunts!I:I,MATCH($A1100,emprunts!$A:$A,0))</f>
        <v>18.170000000000002</v>
      </c>
      <c r="F1100" s="18" t="str">
        <f>INDEX(emprunts!P:P,MATCH($A1100,emprunts!$A:$A,0))</f>
        <v>Pente</v>
      </c>
      <c r="G1100" s="126" t="str">
        <f>IF(LEFT(A1100,3)="vx_","vx",INDEX(Categorie,MATCH($A1100,emprunts!$A$2:$A$149,0)))</f>
        <v>Struct</v>
      </c>
      <c r="H1100">
        <v>2016</v>
      </c>
      <c r="I1100">
        <f t="shared" si="184"/>
        <v>1</v>
      </c>
      <c r="N1100"/>
      <c r="O1100" s="58"/>
      <c r="P1100" s="75"/>
      <c r="Q1100" s="58"/>
      <c r="R1100" s="58"/>
      <c r="S1100" s="58"/>
      <c r="T1100" s="58"/>
      <c r="U1100" s="58"/>
      <c r="V1100" s="14" t="str">
        <f t="shared" si="180"/>
        <v/>
      </c>
      <c r="W1100" s="77"/>
      <c r="X1100" s="85">
        <f t="shared" si="185"/>
        <v>0</v>
      </c>
      <c r="Y1100" s="21" t="str">
        <f t="shared" si="183"/>
        <v/>
      </c>
      <c r="AA1100" s="55">
        <f t="shared" si="181"/>
        <v>0</v>
      </c>
      <c r="AB1100" s="55">
        <f t="shared" si="182"/>
        <v>0</v>
      </c>
      <c r="AC1100" s="55">
        <f t="shared" si="179"/>
        <v>0</v>
      </c>
    </row>
    <row r="1101" spans="1:29">
      <c r="A1101" t="s">
        <v>204</v>
      </c>
      <c r="B1101" s="16" t="str">
        <f>INDEX(emprunts!C:C,MATCH($A1101,emprunts!A:A,0))</f>
        <v>Crédit Agricole</v>
      </c>
      <c r="C1101" s="18">
        <f>INDEX(emprunts!M:M,MATCH($A1101,emprunts!$A:$A,0))</f>
        <v>38782</v>
      </c>
      <c r="D1101" s="18">
        <f>IF(INDEX(emprunts!O:O,MATCH($A1101,emprunts!$A:$A,0))="",INDEX(emprunts!N:N,MATCH($A1101,emprunts!$A:$A,0)),MIN(INDEX(emprunts!N:N,MATCH($A1101,emprunts!$A:$A,0)),INDEX(emprunts!O:O,MATCH($A1101,emprunts!$A:$A,0))))</f>
        <v>44257</v>
      </c>
      <c r="E1101" s="52">
        <f>INDEX(emprunts!I:I,MATCH($A1101,emprunts!$A:$A,0))</f>
        <v>15</v>
      </c>
      <c r="F1101" s="18" t="str">
        <f>INDEX(emprunts!P:P,MATCH($A1101,emprunts!$A:$A,0))</f>
        <v>Barrière</v>
      </c>
      <c r="G1101" s="126" t="str">
        <f>IF(LEFT(A1101,3)="vx_","vx",INDEX(Categorie,MATCH($A1101,emprunts!$A$2:$A$149,0)))</f>
        <v>Struct</v>
      </c>
      <c r="H1101">
        <v>2016</v>
      </c>
      <c r="I1101">
        <f t="shared" si="184"/>
        <v>1</v>
      </c>
      <c r="N1101"/>
      <c r="O1101" s="58"/>
      <c r="P1101" s="75"/>
      <c r="Q1101" s="58"/>
      <c r="R1101" s="58"/>
      <c r="S1101" s="58"/>
      <c r="T1101" s="58"/>
      <c r="U1101" s="58"/>
      <c r="V1101" s="14" t="str">
        <f t="shared" si="180"/>
        <v/>
      </c>
      <c r="W1101" s="77"/>
      <c r="X1101" s="85">
        <f t="shared" si="185"/>
        <v>0</v>
      </c>
      <c r="Y1101" s="21" t="str">
        <f t="shared" si="183"/>
        <v/>
      </c>
      <c r="AA1101" s="55">
        <f t="shared" si="181"/>
        <v>0</v>
      </c>
      <c r="AB1101" s="55">
        <f t="shared" si="182"/>
        <v>0</v>
      </c>
      <c r="AC1101" s="55">
        <f t="shared" si="179"/>
        <v>0</v>
      </c>
    </row>
    <row r="1102" spans="1:29">
      <c r="A1102" t="s">
        <v>207</v>
      </c>
      <c r="B1102" s="16" t="str">
        <f>INDEX(emprunts!C:C,MATCH($A1102,emprunts!A:A,0))</f>
        <v>Crédit Agricole</v>
      </c>
      <c r="C1102" s="18">
        <f>INDEX(emprunts!M:M,MATCH($A1102,emprunts!$A:$A,0))</f>
        <v>38782</v>
      </c>
      <c r="D1102" s="18">
        <f>IF(INDEX(emprunts!O:O,MATCH($A1102,emprunts!$A:$A,0))="",INDEX(emprunts!N:N,MATCH($A1102,emprunts!$A:$A,0)),MIN(INDEX(emprunts!N:N,MATCH($A1102,emprunts!$A:$A,0)),INDEX(emprunts!O:O,MATCH($A1102,emprunts!$A:$A,0))))</f>
        <v>44261</v>
      </c>
      <c r="E1102" s="52">
        <f>INDEX(emprunts!I:I,MATCH($A1102,emprunts!$A:$A,0))</f>
        <v>15</v>
      </c>
      <c r="F1102" s="18" t="str">
        <f>INDEX(emprunts!P:P,MATCH($A1102,emprunts!$A:$A,0))</f>
        <v>Fixe</v>
      </c>
      <c r="G1102" s="126" t="str">
        <f>IF(LEFT(A1102,3)="vx_","vx",INDEX(Categorie,MATCH($A1102,emprunts!$A$2:$A$149,0)))</f>
        <v>Non_st</v>
      </c>
      <c r="H1102">
        <v>2016</v>
      </c>
      <c r="I1102">
        <f t="shared" si="184"/>
        <v>1</v>
      </c>
      <c r="N1102"/>
      <c r="O1102" s="58">
        <v>1970163</v>
      </c>
      <c r="P1102" s="75">
        <v>3.2199999999999999E-2</v>
      </c>
      <c r="Q1102" s="58">
        <v>159460.59</v>
      </c>
      <c r="R1102" s="58">
        <v>353714.14</v>
      </c>
      <c r="S1102" s="58">
        <v>-84354.21</v>
      </c>
      <c r="T1102" s="58">
        <v>58244.59</v>
      </c>
      <c r="U1102" s="58">
        <f>SUM(Q1102:S1102)</f>
        <v>428820.51999999996</v>
      </c>
      <c r="V1102" s="14">
        <f t="shared" si="180"/>
        <v>0</v>
      </c>
      <c r="W1102" s="77"/>
      <c r="X1102" s="85">
        <f t="shared" si="185"/>
        <v>0</v>
      </c>
      <c r="Y1102" s="21">
        <f t="shared" si="183"/>
        <v>1.7172396530042669E-2</v>
      </c>
      <c r="AA1102" s="55">
        <f t="shared" si="181"/>
        <v>36869.479999999967</v>
      </c>
      <c r="AB1102" s="55">
        <f t="shared" si="182"/>
        <v>0.14000000013038516</v>
      </c>
      <c r="AC1102" s="55">
        <f t="shared" si="179"/>
        <v>2147020.0699999998</v>
      </c>
    </row>
    <row r="1103" spans="1:29">
      <c r="A1103" t="s">
        <v>211</v>
      </c>
      <c r="B1103" s="16" t="str">
        <f>INDEX(emprunts!C:C,MATCH($A1103,emprunts!A:A,0))</f>
        <v>Dexia CL</v>
      </c>
      <c r="C1103" s="18">
        <f>INDEX(emprunts!M:M,MATCH($A1103,emprunts!$A:$A,0))</f>
        <v>38899</v>
      </c>
      <c r="D1103" s="18">
        <f>IF(INDEX(emprunts!O:O,MATCH($A1103,emprunts!$A:$A,0))="",INDEX(emprunts!N:N,MATCH($A1103,emprunts!$A:$A,0)),MIN(INDEX(emprunts!N:N,MATCH($A1103,emprunts!$A:$A,0)),INDEX(emprunts!O:O,MATCH($A1103,emprunts!$A:$A,0))))</f>
        <v>40737</v>
      </c>
      <c r="E1103" s="52">
        <f>INDEX(emprunts!I:I,MATCH($A1103,emprunts!$A:$A,0))</f>
        <v>20</v>
      </c>
      <c r="F1103" s="18" t="str">
        <f>INDEX(emprunts!P:P,MATCH($A1103,emprunts!$A:$A,0))</f>
        <v>Change</v>
      </c>
      <c r="G1103" s="126" t="str">
        <f>IF(LEFT(A1103,3)="vx_","vx",INDEX(Categorie,MATCH($A1103,emprunts!$A$2:$A$149,0)))</f>
        <v>Struct</v>
      </c>
      <c r="H1103">
        <v>2016</v>
      </c>
      <c r="I1103">
        <f t="shared" si="184"/>
        <v>1</v>
      </c>
      <c r="N1103"/>
      <c r="O1103" s="58"/>
      <c r="P1103" s="75"/>
      <c r="Q1103" s="58"/>
      <c r="R1103" s="58"/>
      <c r="S1103" s="58"/>
      <c r="T1103" s="58"/>
      <c r="U1103" s="58"/>
      <c r="V1103" s="14" t="str">
        <f t="shared" si="180"/>
        <v/>
      </c>
      <c r="W1103" s="77"/>
      <c r="X1103" s="85">
        <f t="shared" si="185"/>
        <v>0</v>
      </c>
      <c r="Y1103" s="21" t="str">
        <f t="shared" si="183"/>
        <v/>
      </c>
      <c r="AA1103" s="55">
        <f t="shared" si="181"/>
        <v>0</v>
      </c>
      <c r="AB1103" s="55">
        <f t="shared" si="182"/>
        <v>0</v>
      </c>
      <c r="AC1103" s="55">
        <f t="shared" si="179"/>
        <v>0</v>
      </c>
    </row>
    <row r="1104" spans="1:29">
      <c r="A1104" t="s">
        <v>215</v>
      </c>
      <c r="B1104" s="16" t="str">
        <f>INDEX(emprunts!C:C,MATCH($A1104,emprunts!A:A,0))</f>
        <v>Dexia CL</v>
      </c>
      <c r="C1104" s="18">
        <f>INDEX(emprunts!M:M,MATCH($A1104,emprunts!$A:$A,0))</f>
        <v>38991</v>
      </c>
      <c r="D1104" s="18">
        <f>IF(INDEX(emprunts!O:O,MATCH($A1104,emprunts!$A:$A,0))="",INDEX(emprunts!N:N,MATCH($A1104,emprunts!$A:$A,0)),MIN(INDEX(emprunts!N:N,MATCH($A1104,emprunts!$A:$A,0)),INDEX(emprunts!O:O,MATCH($A1104,emprunts!$A:$A,0))))</f>
        <v>40087</v>
      </c>
      <c r="E1104" s="52">
        <f>INDEX(emprunts!I:I,MATCH($A1104,emprunts!$A:$A,0))</f>
        <v>19</v>
      </c>
      <c r="F1104" s="18" t="str">
        <f>INDEX(emprunts!P:P,MATCH($A1104,emprunts!$A:$A,0))</f>
        <v>Change</v>
      </c>
      <c r="G1104" s="126" t="str">
        <f>IF(LEFT(A1104,3)="vx_","vx",INDEX(Categorie,MATCH($A1104,emprunts!$A$2:$A$149,0)))</f>
        <v>Struct</v>
      </c>
      <c r="H1104">
        <v>2016</v>
      </c>
      <c r="I1104">
        <f t="shared" si="184"/>
        <v>1</v>
      </c>
      <c r="N1104"/>
      <c r="O1104" s="58"/>
      <c r="P1104" s="75"/>
      <c r="Q1104" s="58"/>
      <c r="R1104" s="58"/>
      <c r="S1104" s="58"/>
      <c r="T1104" s="58"/>
      <c r="U1104" s="58"/>
      <c r="V1104" s="14" t="str">
        <f t="shared" si="180"/>
        <v/>
      </c>
      <c r="W1104" s="77"/>
      <c r="X1104" s="85">
        <f t="shared" si="185"/>
        <v>0</v>
      </c>
      <c r="Y1104" s="21" t="str">
        <f t="shared" si="183"/>
        <v/>
      </c>
      <c r="AA1104" s="55">
        <f t="shared" si="181"/>
        <v>0</v>
      </c>
      <c r="AB1104" s="55">
        <f t="shared" si="182"/>
        <v>0</v>
      </c>
      <c r="AC1104" s="55">
        <f t="shared" si="179"/>
        <v>0</v>
      </c>
    </row>
    <row r="1105" spans="1:29">
      <c r="A1105" t="s">
        <v>217</v>
      </c>
      <c r="B1105" s="16" t="str">
        <f>INDEX(emprunts!C:C,MATCH($A1105,emprunts!A:A,0))</f>
        <v>Dexia CL</v>
      </c>
      <c r="C1105" s="18">
        <f>INDEX(emprunts!M:M,MATCH($A1105,emprunts!$A:$A,0))</f>
        <v>38991</v>
      </c>
      <c r="D1105" s="18">
        <f>IF(INDEX(emprunts!O:O,MATCH($A1105,emprunts!$A:$A,0))="",INDEX(emprunts!N:N,MATCH($A1105,emprunts!$A:$A,0)),MIN(INDEX(emprunts!N:N,MATCH($A1105,emprunts!$A:$A,0)),INDEX(emprunts!O:O,MATCH($A1105,emprunts!$A:$A,0))))</f>
        <v>39783</v>
      </c>
      <c r="E1105" s="52">
        <f>INDEX(emprunts!I:I,MATCH($A1105,emprunts!$A:$A,0))</f>
        <v>19.170000000000002</v>
      </c>
      <c r="F1105" s="18" t="str">
        <f>INDEX(emprunts!P:P,MATCH($A1105,emprunts!$A:$A,0))</f>
        <v>Change</v>
      </c>
      <c r="G1105" s="126" t="str">
        <f>IF(LEFT(A1105,3)="vx_","vx",INDEX(Categorie,MATCH($A1105,emprunts!$A$2:$A$149,0)))</f>
        <v>Struct</v>
      </c>
      <c r="H1105">
        <v>2016</v>
      </c>
      <c r="I1105">
        <f t="shared" si="184"/>
        <v>1</v>
      </c>
      <c r="N1105"/>
      <c r="O1105" s="58"/>
      <c r="P1105" s="75"/>
      <c r="Q1105" s="58"/>
      <c r="R1105" s="58"/>
      <c r="S1105" s="58"/>
      <c r="T1105" s="58"/>
      <c r="U1105" s="58"/>
      <c r="V1105" s="14" t="str">
        <f t="shared" si="180"/>
        <v/>
      </c>
      <c r="W1105" s="77"/>
      <c r="X1105" s="85">
        <f t="shared" si="185"/>
        <v>0</v>
      </c>
      <c r="Y1105" s="21" t="str">
        <f t="shared" si="183"/>
        <v/>
      </c>
      <c r="AA1105" s="55">
        <f t="shared" si="181"/>
        <v>0</v>
      </c>
      <c r="AB1105" s="55">
        <f t="shared" si="182"/>
        <v>0</v>
      </c>
      <c r="AC1105" s="55">
        <f t="shared" si="179"/>
        <v>0</v>
      </c>
    </row>
    <row r="1106" spans="1:29">
      <c r="A1106" t="s">
        <v>222</v>
      </c>
      <c r="B1106" s="16" t="str">
        <f>INDEX(emprunts!C:C,MATCH($A1106,emprunts!A:A,0))</f>
        <v>Dexia CL</v>
      </c>
      <c r="C1106" s="18">
        <f>INDEX(emprunts!M:M,MATCH($A1106,emprunts!$A:$A,0))</f>
        <v>39114</v>
      </c>
      <c r="D1106" s="18">
        <f>IF(INDEX(emprunts!O:O,MATCH($A1106,emprunts!$A:$A,0))="",INDEX(emprunts!N:N,MATCH($A1106,emprunts!$A:$A,0)),MIN(INDEX(emprunts!N:N,MATCH($A1106,emprunts!$A:$A,0)),INDEX(emprunts!O:O,MATCH($A1106,emprunts!$A:$A,0))))</f>
        <v>39668</v>
      </c>
      <c r="E1106" s="52">
        <f>INDEX(emprunts!I:I,MATCH($A1106,emprunts!$A:$A,0))</f>
        <v>18.75</v>
      </c>
      <c r="F1106" s="18" t="str">
        <f>INDEX(emprunts!P:P,MATCH($A1106,emprunts!$A:$A,0))</f>
        <v>Change</v>
      </c>
      <c r="G1106" s="126" t="str">
        <f>IF(LEFT(A1106,3)="vx_","vx",INDEX(Categorie,MATCH($A1106,emprunts!$A$2:$A$149,0)))</f>
        <v>Struct</v>
      </c>
      <c r="H1106">
        <v>2016</v>
      </c>
      <c r="I1106">
        <f t="shared" si="184"/>
        <v>1</v>
      </c>
      <c r="N1106"/>
      <c r="O1106" s="58"/>
      <c r="P1106" s="75"/>
      <c r="Q1106" s="58"/>
      <c r="R1106" s="58"/>
      <c r="S1106" s="58"/>
      <c r="T1106" s="58"/>
      <c r="U1106" s="58"/>
      <c r="V1106" s="14" t="str">
        <f t="shared" si="180"/>
        <v/>
      </c>
      <c r="W1106" s="77"/>
      <c r="X1106" s="85">
        <f t="shared" si="185"/>
        <v>0</v>
      </c>
      <c r="Y1106" s="21" t="str">
        <f t="shared" si="183"/>
        <v/>
      </c>
      <c r="AA1106" s="55">
        <f t="shared" si="181"/>
        <v>0</v>
      </c>
      <c r="AB1106" s="55">
        <f t="shared" si="182"/>
        <v>0</v>
      </c>
      <c r="AC1106" s="55">
        <f t="shared" si="179"/>
        <v>0</v>
      </c>
    </row>
    <row r="1107" spans="1:29">
      <c r="A1107" t="s">
        <v>223</v>
      </c>
      <c r="B1107" s="16" t="str">
        <f>INDEX(emprunts!C:C,MATCH($A1107,emprunts!A:A,0))</f>
        <v>Crédit Agricole</v>
      </c>
      <c r="C1107" s="18">
        <f>INDEX(emprunts!M:M,MATCH($A1107,emprunts!$A:$A,0))</f>
        <v>39182</v>
      </c>
      <c r="D1107" s="18">
        <f>IF(INDEX(emprunts!O:O,MATCH($A1107,emprunts!$A:$A,0))="",INDEX(emprunts!N:N,MATCH($A1107,emprunts!$A:$A,0)),MIN(INDEX(emprunts!N:N,MATCH($A1107,emprunts!$A:$A,0)),INDEX(emprunts!O:O,MATCH($A1107,emprunts!$A:$A,0))))</f>
        <v>46813</v>
      </c>
      <c r="E1107" s="52">
        <f>INDEX(emprunts!I:I,MATCH($A1107,emprunts!$A:$A,0))</f>
        <v>20</v>
      </c>
      <c r="F1107" s="18" t="str">
        <f>INDEX(emprunts!P:P,MATCH($A1107,emprunts!$A:$A,0))</f>
        <v>Pente</v>
      </c>
      <c r="G1107" s="126" t="str">
        <f>IF(LEFT(A1107,3)="vx_","vx",INDEX(Categorie,MATCH($A1107,emprunts!$A$2:$A$149,0)))</f>
        <v>Struct</v>
      </c>
      <c r="H1107">
        <v>2016</v>
      </c>
      <c r="I1107">
        <f t="shared" si="184"/>
        <v>1</v>
      </c>
      <c r="N1107"/>
      <c r="O1107" s="58">
        <v>3321838</v>
      </c>
      <c r="P1107" s="75">
        <v>3.5499999999999997E-2</v>
      </c>
      <c r="Q1107" s="58">
        <v>123234.21</v>
      </c>
      <c r="R1107" s="58">
        <v>225063.8</v>
      </c>
      <c r="S1107" s="58"/>
      <c r="T1107" s="58">
        <v>9688.69</v>
      </c>
      <c r="U1107" s="58">
        <f>SUM(Q1107:S1107)</f>
        <v>348298.01</v>
      </c>
      <c r="V1107" s="14">
        <f t="shared" si="180"/>
        <v>0</v>
      </c>
      <c r="W1107" s="77"/>
      <c r="X1107" s="85">
        <f t="shared" si="185"/>
        <v>0</v>
      </c>
      <c r="Y1107" s="21">
        <f t="shared" si="183"/>
        <v>3.5691487396276096E-2</v>
      </c>
      <c r="AA1107" s="55">
        <f t="shared" si="181"/>
        <v>122577.76999999999</v>
      </c>
      <c r="AB1107" s="55">
        <f t="shared" si="182"/>
        <v>0.79999999981373549</v>
      </c>
      <c r="AC1107" s="55">
        <f t="shared" si="179"/>
        <v>3434369.9</v>
      </c>
    </row>
    <row r="1108" spans="1:29">
      <c r="A1108" t="s">
        <v>227</v>
      </c>
      <c r="B1108" s="16" t="str">
        <f>INDEX(emprunts!C:C,MATCH($A1108,emprunts!A:A,0))</f>
        <v>Dexia CL</v>
      </c>
      <c r="C1108" s="18">
        <f>INDEX(emprunts!M:M,MATCH($A1108,emprunts!$A:$A,0))</f>
        <v>39203</v>
      </c>
      <c r="D1108" s="18">
        <f>IF(INDEX(emprunts!O:O,MATCH($A1108,emprunts!$A:$A,0))="",INDEX(emprunts!N:N,MATCH($A1108,emprunts!$A:$A,0)),MIN(INDEX(emprunts!N:N,MATCH($A1108,emprunts!$A:$A,0)),INDEX(emprunts!O:O,MATCH($A1108,emprunts!$A:$A,0))))</f>
        <v>40176</v>
      </c>
      <c r="E1108" s="52">
        <f>INDEX(emprunts!I:I,MATCH($A1108,emprunts!$A:$A,0))</f>
        <v>17</v>
      </c>
      <c r="F1108" s="18" t="str">
        <f>INDEX(emprunts!P:P,MATCH($A1108,emprunts!$A:$A,0))</f>
        <v>Courbes</v>
      </c>
      <c r="G1108" s="126" t="str">
        <f>IF(LEFT(A1108,3)="vx_","vx",INDEX(Categorie,MATCH($A1108,emprunts!$A$2:$A$149,0)))</f>
        <v>Struct</v>
      </c>
      <c r="H1108">
        <v>2016</v>
      </c>
      <c r="I1108">
        <f t="shared" si="184"/>
        <v>1</v>
      </c>
      <c r="N1108"/>
      <c r="O1108" s="58"/>
      <c r="P1108" s="75"/>
      <c r="Q1108" s="58"/>
      <c r="R1108" s="58"/>
      <c r="S1108" s="58"/>
      <c r="T1108" s="58"/>
      <c r="U1108" s="58"/>
      <c r="V1108" s="14" t="str">
        <f t="shared" si="180"/>
        <v/>
      </c>
      <c r="W1108" s="77"/>
      <c r="X1108" s="85">
        <f t="shared" si="185"/>
        <v>0</v>
      </c>
      <c r="Y1108" s="21" t="str">
        <f t="shared" si="183"/>
        <v/>
      </c>
      <c r="AA1108" s="55">
        <f t="shared" si="181"/>
        <v>0</v>
      </c>
      <c r="AB1108" s="55">
        <f t="shared" si="182"/>
        <v>0</v>
      </c>
      <c r="AC1108" s="55">
        <f t="shared" si="179"/>
        <v>0</v>
      </c>
    </row>
    <row r="1109" spans="1:29">
      <c r="A1109" t="s">
        <v>231</v>
      </c>
      <c r="B1109" s="16" t="str">
        <f>INDEX(emprunts!C:C,MATCH($A1109,emprunts!A:A,0))</f>
        <v>Dexia CL</v>
      </c>
      <c r="C1109" s="18">
        <f>INDEX(emprunts!M:M,MATCH($A1109,emprunts!$A:$A,0))</f>
        <v>39203</v>
      </c>
      <c r="D1109" s="18">
        <f>IF(INDEX(emprunts!O:O,MATCH($A1109,emprunts!$A:$A,0))="",INDEX(emprunts!N:N,MATCH($A1109,emprunts!$A:$A,0)),MIN(INDEX(emprunts!N:N,MATCH($A1109,emprunts!$A:$A,0)),INDEX(emprunts!O:O,MATCH($A1109,emprunts!$A:$A,0))))</f>
        <v>40176</v>
      </c>
      <c r="E1109" s="52">
        <f>INDEX(emprunts!I:I,MATCH($A1109,emprunts!$A:$A,0))</f>
        <v>16.920000000000002</v>
      </c>
      <c r="F1109" s="18" t="str">
        <f>INDEX(emprunts!P:P,MATCH($A1109,emprunts!$A:$A,0))</f>
        <v>Écart d'inflation</v>
      </c>
      <c r="G1109" s="126" t="str">
        <f>IF(LEFT(A1109,3)="vx_","vx",INDEX(Categorie,MATCH($A1109,emprunts!$A$2:$A$149,0)))</f>
        <v>Struct</v>
      </c>
      <c r="H1109">
        <v>2016</v>
      </c>
      <c r="I1109">
        <f t="shared" si="184"/>
        <v>1</v>
      </c>
      <c r="N1109"/>
      <c r="O1109" s="58"/>
      <c r="P1109" s="75"/>
      <c r="Q1109" s="58"/>
      <c r="R1109" s="58"/>
      <c r="S1109" s="58"/>
      <c r="T1109" s="58"/>
      <c r="U1109" s="58"/>
      <c r="V1109" s="14" t="str">
        <f t="shared" si="180"/>
        <v/>
      </c>
      <c r="W1109" s="77"/>
      <c r="X1109" s="85">
        <f t="shared" si="185"/>
        <v>0</v>
      </c>
      <c r="Y1109" s="21" t="str">
        <f t="shared" si="183"/>
        <v/>
      </c>
      <c r="AA1109" s="55">
        <f t="shared" si="181"/>
        <v>0</v>
      </c>
      <c r="AB1109" s="55">
        <f t="shared" si="182"/>
        <v>0</v>
      </c>
      <c r="AC1109" s="55">
        <f t="shared" si="179"/>
        <v>0</v>
      </c>
    </row>
    <row r="1110" spans="1:29">
      <c r="A1110" t="s">
        <v>233</v>
      </c>
      <c r="B1110" s="16" t="str">
        <f>INDEX(emprunts!C:C,MATCH($A1110,emprunts!A:A,0))</f>
        <v>Société Générale</v>
      </c>
      <c r="C1110" s="18">
        <f>INDEX(emprunts!M:M,MATCH($A1110,emprunts!$A:$A,0))</f>
        <v>39226</v>
      </c>
      <c r="D1110" s="18">
        <f>IF(INDEX(emprunts!O:O,MATCH($A1110,emprunts!$A:$A,0))="",INDEX(emprunts!N:N,MATCH($A1110,emprunts!$A:$A,0)),MIN(INDEX(emprunts!N:N,MATCH($A1110,emprunts!$A:$A,0)),INDEX(emprunts!O:O,MATCH($A1110,emprunts!$A:$A,0))))</f>
        <v>39904</v>
      </c>
      <c r="E1110" s="52">
        <f>INDEX(emprunts!I:I,MATCH($A1110,emprunts!$A:$A,0))</f>
        <v>19</v>
      </c>
      <c r="F1110" s="18" t="str">
        <f>INDEX(emprunts!P:P,MATCH($A1110,emprunts!$A:$A,0))</f>
        <v>Change</v>
      </c>
      <c r="G1110" s="126" t="str">
        <f>IF(LEFT(A1110,3)="vx_","vx",INDEX(Categorie,MATCH($A1110,emprunts!$A$2:$A$149,0)))</f>
        <v>Struct</v>
      </c>
      <c r="H1110">
        <v>2016</v>
      </c>
      <c r="I1110">
        <f t="shared" si="184"/>
        <v>1</v>
      </c>
      <c r="N1110"/>
      <c r="O1110" s="58"/>
      <c r="P1110" s="75"/>
      <c r="Q1110" s="58"/>
      <c r="R1110" s="58"/>
      <c r="S1110" s="58"/>
      <c r="T1110" s="58"/>
      <c r="U1110" s="58"/>
      <c r="V1110" s="14" t="str">
        <f t="shared" si="180"/>
        <v/>
      </c>
      <c r="W1110" s="77"/>
      <c r="X1110" s="85">
        <f t="shared" si="185"/>
        <v>0</v>
      </c>
      <c r="Y1110" s="21" t="str">
        <f t="shared" si="183"/>
        <v/>
      </c>
      <c r="AA1110" s="55">
        <f t="shared" si="181"/>
        <v>0</v>
      </c>
      <c r="AB1110" s="55">
        <f t="shared" si="182"/>
        <v>0</v>
      </c>
      <c r="AC1110" s="55">
        <f t="shared" ref="AC1110:AC1169" si="186">MAX(0,(C1110-DATE(H1110,1,1))/365)*0+MAX(0,MIN(1,(MIN(DATE(H1110,12,31),D1110)-MAX(DATE(H1110,1,1),C1110))/365))*(O1110+X1110+R1110/2)</f>
        <v>0</v>
      </c>
    </row>
    <row r="1111" spans="1:29">
      <c r="A1111" t="s">
        <v>235</v>
      </c>
      <c r="B1111" s="16" t="str">
        <f>INDEX(emprunts!C:C,MATCH($A1111,emprunts!A:A,0))</f>
        <v>Caisse d'Épargne</v>
      </c>
      <c r="C1111" s="18">
        <f>INDEX(emprunts!M:M,MATCH($A1111,emprunts!$A:$A,0))</f>
        <v>39288</v>
      </c>
      <c r="D1111" s="18">
        <f>IF(INDEX(emprunts!O:O,MATCH($A1111,emprunts!$A:$A,0))="",INDEX(emprunts!N:N,MATCH($A1111,emprunts!$A:$A,0)),MIN(INDEX(emprunts!N:N,MATCH($A1111,emprunts!$A:$A,0)),INDEX(emprunts!O:O,MATCH($A1111,emprunts!$A:$A,0))))</f>
        <v>40964</v>
      </c>
      <c r="E1111" s="52">
        <f>INDEX(emprunts!I:I,MATCH($A1111,emprunts!$A:$A,0))</f>
        <v>18.579999999999998</v>
      </c>
      <c r="F1111" s="18" t="str">
        <f>INDEX(emprunts!P:P,MATCH($A1111,emprunts!$A:$A,0))</f>
        <v>Courbes</v>
      </c>
      <c r="G1111" s="126" t="str">
        <f>IF(LEFT(A1111,3)="vx_","vx",INDEX(Categorie,MATCH($A1111,emprunts!$A$2:$A$149,0)))</f>
        <v>Struct</v>
      </c>
      <c r="H1111">
        <v>2016</v>
      </c>
      <c r="I1111">
        <f t="shared" si="184"/>
        <v>1</v>
      </c>
      <c r="N1111"/>
      <c r="O1111" s="58"/>
      <c r="P1111" s="75"/>
      <c r="Q1111" s="58"/>
      <c r="R1111" s="58"/>
      <c r="S1111" s="58"/>
      <c r="T1111" s="58"/>
      <c r="U1111" s="58"/>
      <c r="V1111" s="14" t="str">
        <f t="shared" si="180"/>
        <v/>
      </c>
      <c r="W1111" s="77"/>
      <c r="X1111" s="85">
        <f t="shared" si="185"/>
        <v>0</v>
      </c>
      <c r="Y1111" s="21" t="str">
        <f t="shared" si="183"/>
        <v/>
      </c>
      <c r="AA1111" s="55">
        <f t="shared" si="181"/>
        <v>0</v>
      </c>
      <c r="AB1111" s="55">
        <f t="shared" si="182"/>
        <v>0</v>
      </c>
      <c r="AC1111" s="55">
        <f t="shared" si="186"/>
        <v>0</v>
      </c>
    </row>
    <row r="1112" spans="1:29">
      <c r="A1112" t="s">
        <v>246</v>
      </c>
      <c r="B1112" s="16" t="str">
        <f>INDEX(emprunts!C:C,MATCH($A1112,emprunts!A:A,0))</f>
        <v>Dexia CL</v>
      </c>
      <c r="C1112" s="18">
        <f>INDEX(emprunts!M:M,MATCH($A1112,emprunts!$A:$A,0))</f>
        <v>39350</v>
      </c>
      <c r="D1112" s="18">
        <f>IF(INDEX(emprunts!O:O,MATCH($A1112,emprunts!$A:$A,0))="",INDEX(emprunts!N:N,MATCH($A1112,emprunts!$A:$A,0)),MIN(INDEX(emprunts!N:N,MATCH($A1112,emprunts!$A:$A,0)),INDEX(emprunts!O:O,MATCH($A1112,emprunts!$A:$A,0))))</f>
        <v>40179</v>
      </c>
      <c r="E1112" s="52">
        <f>INDEX(emprunts!I:I,MATCH($A1112,emprunts!$A:$A,0))</f>
        <v>25.42</v>
      </c>
      <c r="F1112" s="18" t="str">
        <f>INDEX(emprunts!P:P,MATCH($A1112,emprunts!$A:$A,0))</f>
        <v>Barrière avec multiplicateur</v>
      </c>
      <c r="G1112" s="126" t="str">
        <f>IF(LEFT(A1112,3)="vx_","vx",INDEX(Categorie,MATCH($A1112,emprunts!$A$2:$A$149,0)))</f>
        <v>Struct</v>
      </c>
      <c r="H1112">
        <v>2016</v>
      </c>
      <c r="I1112">
        <f t="shared" si="184"/>
        <v>1</v>
      </c>
      <c r="N1112"/>
      <c r="O1112" s="58"/>
      <c r="P1112" s="75"/>
      <c r="Q1112" s="58"/>
      <c r="R1112" s="58"/>
      <c r="S1112" s="58"/>
      <c r="T1112" s="58"/>
      <c r="U1112" s="58"/>
      <c r="V1112" s="14" t="str">
        <f t="shared" si="180"/>
        <v/>
      </c>
      <c r="W1112" s="77"/>
      <c r="X1112" s="85">
        <f t="shared" si="185"/>
        <v>0</v>
      </c>
      <c r="Y1112" s="21" t="str">
        <f t="shared" si="183"/>
        <v/>
      </c>
      <c r="AA1112" s="55">
        <f t="shared" si="181"/>
        <v>0</v>
      </c>
      <c r="AB1112" s="55">
        <f t="shared" si="182"/>
        <v>0</v>
      </c>
      <c r="AC1112" s="55">
        <f t="shared" si="186"/>
        <v>0</v>
      </c>
    </row>
    <row r="1113" spans="1:29">
      <c r="A1113" t="s">
        <v>250</v>
      </c>
      <c r="B1113" s="16" t="str">
        <f>INDEX(emprunts!C:C,MATCH($A1113,emprunts!A:A,0))</f>
        <v>Caisse d'Épargne</v>
      </c>
      <c r="C1113" s="18">
        <f>INDEX(emprunts!M:M,MATCH($A1113,emprunts!$A:$A,0))</f>
        <v>39447</v>
      </c>
      <c r="D1113" s="18">
        <f>IF(INDEX(emprunts!O:O,MATCH($A1113,emprunts!$A:$A,0))="",INDEX(emprunts!N:N,MATCH($A1113,emprunts!$A:$A,0)),MIN(INDEX(emprunts!N:N,MATCH($A1113,emprunts!$A:$A,0)),INDEX(emprunts!O:O,MATCH($A1113,emprunts!$A:$A,0))))</f>
        <v>41330</v>
      </c>
      <c r="E1113" s="52">
        <f>INDEX(emprunts!I:I,MATCH($A1113,emprunts!$A:$A,0))</f>
        <v>20</v>
      </c>
      <c r="F1113" s="18" t="str">
        <f>INDEX(emprunts!P:P,MATCH($A1113,emprunts!$A:$A,0))</f>
        <v>Courbes</v>
      </c>
      <c r="G1113" s="126" t="str">
        <f>IF(LEFT(A1113,3)="vx_","vx",INDEX(Categorie,MATCH($A1113,emprunts!$A$2:$A$149,0)))</f>
        <v>Struct</v>
      </c>
      <c r="H1113">
        <v>2016</v>
      </c>
      <c r="I1113">
        <f t="shared" si="184"/>
        <v>1</v>
      </c>
      <c r="N1113"/>
      <c r="O1113" s="58"/>
      <c r="P1113" s="75"/>
      <c r="Q1113" s="58"/>
      <c r="R1113" s="58"/>
      <c r="S1113" s="58"/>
      <c r="T1113" s="58"/>
      <c r="U1113" s="58"/>
      <c r="V1113" s="14" t="str">
        <f t="shared" si="180"/>
        <v/>
      </c>
      <c r="W1113" s="77"/>
      <c r="X1113" s="85">
        <f t="shared" si="185"/>
        <v>0</v>
      </c>
      <c r="Y1113" s="21" t="str">
        <f t="shared" si="183"/>
        <v/>
      </c>
      <c r="AA1113" s="55">
        <f t="shared" si="181"/>
        <v>0</v>
      </c>
      <c r="AB1113" s="55">
        <f t="shared" si="182"/>
        <v>0</v>
      </c>
      <c r="AC1113" s="55">
        <f t="shared" si="186"/>
        <v>0</v>
      </c>
    </row>
    <row r="1114" spans="1:29">
      <c r="A1114" t="s">
        <v>253</v>
      </c>
      <c r="B1114" s="16" t="str">
        <f>INDEX(emprunts!C:C,MATCH($A1114,emprunts!A:A,0))</f>
        <v>Dexia CL</v>
      </c>
      <c r="C1114" s="18">
        <f>INDEX(emprunts!M:M,MATCH($A1114,emprunts!$A:$A,0))</f>
        <v>40176</v>
      </c>
      <c r="D1114" s="18">
        <f>IF(INDEX(emprunts!O:O,MATCH($A1114,emprunts!$A:$A,0))="",INDEX(emprunts!N:N,MATCH($A1114,emprunts!$A:$A,0)),MIN(INDEX(emprunts!N:N,MATCH($A1114,emprunts!$A:$A,0)),INDEX(emprunts!O:O,MATCH($A1114,emprunts!$A:$A,0))))</f>
        <v>40299</v>
      </c>
      <c r="E1114" s="52">
        <f>INDEX(emprunts!I:I,MATCH($A1114,emprunts!$A:$A,0))</f>
        <v>20.83</v>
      </c>
      <c r="F1114" s="18" t="str">
        <f>INDEX(emprunts!P:P,MATCH($A1114,emprunts!$A:$A,0))</f>
        <v>Courbes</v>
      </c>
      <c r="G1114" s="126" t="str">
        <f>IF(LEFT(A1114,3)="vx_","vx",INDEX(Categorie,MATCH($A1114,emprunts!$A$2:$A$149,0)))</f>
        <v>Struct</v>
      </c>
      <c r="H1114">
        <v>2016</v>
      </c>
      <c r="I1114">
        <f t="shared" si="184"/>
        <v>1</v>
      </c>
      <c r="N1114"/>
      <c r="O1114" s="58"/>
      <c r="P1114" s="75"/>
      <c r="Q1114" s="58"/>
      <c r="R1114" s="58"/>
      <c r="S1114" s="58"/>
      <c r="T1114" s="58"/>
      <c r="U1114" s="58"/>
      <c r="V1114" s="14" t="str">
        <f t="shared" si="180"/>
        <v/>
      </c>
      <c r="W1114" s="77"/>
      <c r="X1114" s="85">
        <f t="shared" si="185"/>
        <v>0</v>
      </c>
      <c r="Y1114" s="21" t="str">
        <f t="shared" si="183"/>
        <v/>
      </c>
      <c r="AA1114" s="55">
        <f t="shared" si="181"/>
        <v>0</v>
      </c>
      <c r="AB1114" s="55">
        <f t="shared" si="182"/>
        <v>0</v>
      </c>
      <c r="AC1114" s="55">
        <f t="shared" si="186"/>
        <v>0</v>
      </c>
    </row>
    <row r="1115" spans="1:29">
      <c r="A1115" t="s">
        <v>255</v>
      </c>
      <c r="B1115" s="16" t="str">
        <f>INDEX(emprunts!C:C,MATCH($A1115,emprunts!A:A,0))</f>
        <v>Dexia CL</v>
      </c>
      <c r="C1115" s="18">
        <f>INDEX(emprunts!M:M,MATCH($A1115,emprunts!$A:$A,0))</f>
        <v>39668</v>
      </c>
      <c r="D1115" s="18">
        <f>IF(INDEX(emprunts!O:O,MATCH($A1115,emprunts!$A:$A,0))="",INDEX(emprunts!N:N,MATCH($A1115,emprunts!$A:$A,0)),MIN(INDEX(emprunts!N:N,MATCH($A1115,emprunts!$A:$A,0)),INDEX(emprunts!O:O,MATCH($A1115,emprunts!$A:$A,0))))</f>
        <v>40848</v>
      </c>
      <c r="E1115" s="52">
        <f>INDEX(emprunts!I:I,MATCH($A1115,emprunts!$A:$A,0))</f>
        <v>25.33</v>
      </c>
      <c r="F1115" s="18" t="str">
        <f>INDEX(emprunts!P:P,MATCH($A1115,emprunts!$A:$A,0))</f>
        <v>Change</v>
      </c>
      <c r="G1115" s="126" t="str">
        <f>IF(LEFT(A1115,3)="vx_","vx",INDEX(Categorie,MATCH($A1115,emprunts!$A$2:$A$149,0)))</f>
        <v>Struct</v>
      </c>
      <c r="H1115">
        <v>2016</v>
      </c>
      <c r="I1115">
        <f t="shared" si="184"/>
        <v>1</v>
      </c>
      <c r="N1115"/>
      <c r="O1115" s="58"/>
      <c r="P1115" s="75"/>
      <c r="Q1115" s="58"/>
      <c r="R1115" s="58"/>
      <c r="S1115" s="58"/>
      <c r="T1115" s="58"/>
      <c r="U1115" s="58"/>
      <c r="V1115" s="14" t="str">
        <f t="shared" si="180"/>
        <v/>
      </c>
      <c r="W1115" s="77"/>
      <c r="X1115" s="85">
        <f t="shared" si="185"/>
        <v>0</v>
      </c>
      <c r="Y1115" s="21" t="str">
        <f t="shared" si="183"/>
        <v/>
      </c>
      <c r="AA1115" s="55">
        <f t="shared" si="181"/>
        <v>0</v>
      </c>
      <c r="AB1115" s="55">
        <f t="shared" si="182"/>
        <v>0</v>
      </c>
      <c r="AC1115" s="55">
        <f t="shared" si="186"/>
        <v>0</v>
      </c>
    </row>
    <row r="1116" spans="1:29">
      <c r="A1116" t="s">
        <v>256</v>
      </c>
      <c r="B1116" s="16" t="str">
        <f>INDEX(emprunts!C:C,MATCH($A1116,emprunts!A:A,0))</f>
        <v>Dexia CL</v>
      </c>
      <c r="C1116" s="18">
        <f>INDEX(emprunts!M:M,MATCH($A1116,emprunts!$A:$A,0))</f>
        <v>39668</v>
      </c>
      <c r="D1116" s="18">
        <f>IF(INDEX(emprunts!O:O,MATCH($A1116,emprunts!$A:$A,0))="",INDEX(emprunts!N:N,MATCH($A1116,emprunts!$A:$A,0)),MIN(INDEX(emprunts!N:N,MATCH($A1116,emprunts!$A:$A,0)),INDEX(emprunts!O:O,MATCH($A1116,emprunts!$A:$A,0))))</f>
        <v>41214</v>
      </c>
      <c r="E1116" s="52">
        <f>INDEX(emprunts!I:I,MATCH($A1116,emprunts!$A:$A,0))</f>
        <v>25.33</v>
      </c>
      <c r="F1116" s="18" t="str">
        <f>INDEX(emprunts!P:P,MATCH($A1116,emprunts!$A:$A,0))</f>
        <v>Change</v>
      </c>
      <c r="G1116" s="126" t="str">
        <f>IF(LEFT(A1116,3)="vx_","vx",INDEX(Categorie,MATCH($A1116,emprunts!$A$2:$A$149,0)))</f>
        <v>Struct</v>
      </c>
      <c r="H1116">
        <v>2016</v>
      </c>
      <c r="I1116">
        <f t="shared" si="184"/>
        <v>1</v>
      </c>
      <c r="N1116"/>
      <c r="O1116" s="58"/>
      <c r="P1116" s="75"/>
      <c r="Q1116" s="58"/>
      <c r="R1116" s="58"/>
      <c r="S1116" s="58"/>
      <c r="T1116" s="58"/>
      <c r="U1116" s="58"/>
      <c r="V1116" s="14" t="str">
        <f t="shared" si="180"/>
        <v/>
      </c>
      <c r="W1116" s="77"/>
      <c r="X1116" s="85">
        <f t="shared" si="185"/>
        <v>0</v>
      </c>
      <c r="Y1116" s="21" t="str">
        <f t="shared" si="183"/>
        <v/>
      </c>
      <c r="AA1116" s="55">
        <f t="shared" si="181"/>
        <v>0</v>
      </c>
      <c r="AB1116" s="55">
        <f t="shared" si="182"/>
        <v>0</v>
      </c>
      <c r="AC1116" s="55">
        <f t="shared" si="186"/>
        <v>0</v>
      </c>
    </row>
    <row r="1117" spans="1:29">
      <c r="A1117" t="s">
        <v>257</v>
      </c>
      <c r="B1117" s="16" t="str">
        <f>INDEX(emprunts!C:C,MATCH($A1117,emprunts!A:A,0))</f>
        <v>Dexia CL</v>
      </c>
      <c r="C1117" s="18">
        <f>INDEX(emprunts!M:M,MATCH($A1117,emprunts!$A:$A,0))</f>
        <v>41214</v>
      </c>
      <c r="D1117" s="18">
        <f>IF(INDEX(emprunts!O:O,MATCH($A1117,emprunts!$A:$A,0))="",INDEX(emprunts!N:N,MATCH($A1117,emprunts!$A:$A,0)),MIN(INDEX(emprunts!N:N,MATCH($A1117,emprunts!$A:$A,0)),INDEX(emprunts!O:O,MATCH($A1117,emprunts!$A:$A,0))))</f>
        <v>43040</v>
      </c>
      <c r="E1117" s="52">
        <f>INDEX(emprunts!I:I,MATCH($A1117,emprunts!$A:$A,0))</f>
        <v>25</v>
      </c>
      <c r="F1117" s="18" t="str">
        <f>INDEX(emprunts!P:P,MATCH($A1117,emprunts!$A:$A,0))</f>
        <v>Change</v>
      </c>
      <c r="G1117" s="126" t="str">
        <f>IF(LEFT(A1117,3)="vx_","vx",INDEX(Categorie,MATCH($A1117,emprunts!$A$2:$A$149,0)))</f>
        <v>Struct</v>
      </c>
      <c r="H1117">
        <v>2016</v>
      </c>
      <c r="I1117">
        <f t="shared" si="184"/>
        <v>1</v>
      </c>
      <c r="N1117"/>
      <c r="O1117" s="58">
        <v>7731736</v>
      </c>
      <c r="P1117" s="75">
        <v>0.03</v>
      </c>
      <c r="Q1117" s="58">
        <v>241249.21</v>
      </c>
      <c r="R1117" s="58">
        <v>284963.37</v>
      </c>
      <c r="S1117" s="58"/>
      <c r="T1117" s="58">
        <v>38143.230000000003</v>
      </c>
      <c r="U1117" s="58">
        <f>SUM(Q1117:S1117)</f>
        <v>526212.57999999996</v>
      </c>
      <c r="V1117" s="14">
        <f t="shared" si="180"/>
        <v>0</v>
      </c>
      <c r="W1117" s="77"/>
      <c r="X1117" s="85">
        <f t="shared" si="185"/>
        <v>0</v>
      </c>
      <c r="Y1117" s="21">
        <f t="shared" si="183"/>
        <v>3.0459329370191274E-2</v>
      </c>
      <c r="AA1117" s="55">
        <f t="shared" si="181"/>
        <v>239843.39</v>
      </c>
      <c r="AB1117" s="55">
        <f t="shared" si="182"/>
        <v>0.37000000011175871</v>
      </c>
      <c r="AC1117" s="55">
        <f t="shared" si="186"/>
        <v>7874217.6849999996</v>
      </c>
    </row>
    <row r="1118" spans="1:29">
      <c r="A1118" t="s">
        <v>261</v>
      </c>
      <c r="B1118" s="16" t="str">
        <f>INDEX(emprunts!C:C,MATCH($A1118,emprunts!A:A,0))</f>
        <v>Dexia CL</v>
      </c>
      <c r="C1118" s="18">
        <f>INDEX(emprunts!M:M,MATCH($A1118,emprunts!$A:$A,0))</f>
        <v>39783</v>
      </c>
      <c r="D1118" s="18">
        <f>IF(INDEX(emprunts!O:O,MATCH($A1118,emprunts!$A:$A,0))="",INDEX(emprunts!N:N,MATCH($A1118,emprunts!$A:$A,0)),MIN(INDEX(emprunts!N:N,MATCH($A1118,emprunts!$A:$A,0)),INDEX(emprunts!O:O,MATCH($A1118,emprunts!$A:$A,0))))</f>
        <v>40513</v>
      </c>
      <c r="E1118" s="52">
        <f>INDEX(emprunts!I:I,MATCH($A1118,emprunts!$A:$A,0))</f>
        <v>17</v>
      </c>
      <c r="F1118" s="18" t="str">
        <f>INDEX(emprunts!P:P,MATCH($A1118,emprunts!$A:$A,0))</f>
        <v>Change</v>
      </c>
      <c r="G1118" s="126" t="str">
        <f>IF(LEFT(A1118,3)="vx_","vx",INDEX(Categorie,MATCH($A1118,emprunts!$A$2:$A$149,0)))</f>
        <v>Struct</v>
      </c>
      <c r="H1118">
        <v>2016</v>
      </c>
      <c r="I1118">
        <f t="shared" si="184"/>
        <v>1</v>
      </c>
      <c r="N1118"/>
      <c r="O1118" s="58"/>
      <c r="P1118" s="75"/>
      <c r="Q1118" s="58"/>
      <c r="R1118" s="58"/>
      <c r="S1118" s="58"/>
      <c r="T1118" s="58"/>
      <c r="U1118" s="58"/>
      <c r="V1118" s="14" t="str">
        <f t="shared" si="180"/>
        <v/>
      </c>
      <c r="W1118" s="77"/>
      <c r="X1118" s="85">
        <f t="shared" si="185"/>
        <v>0</v>
      </c>
      <c r="Y1118" s="21" t="str">
        <f t="shared" si="183"/>
        <v/>
      </c>
      <c r="AA1118" s="55">
        <f t="shared" si="181"/>
        <v>0</v>
      </c>
      <c r="AB1118" s="55">
        <f t="shared" si="182"/>
        <v>0</v>
      </c>
      <c r="AC1118" s="55">
        <f t="shared" si="186"/>
        <v>0</v>
      </c>
    </row>
    <row r="1119" spans="1:29">
      <c r="A1119" t="s">
        <v>263</v>
      </c>
      <c r="B1119" s="16" t="str">
        <f>INDEX(emprunts!C:C,MATCH($A1119,emprunts!A:A,0))</f>
        <v>Dexia CL</v>
      </c>
      <c r="C1119" s="18">
        <f>INDEX(emprunts!M:M,MATCH($A1119,emprunts!$A:$A,0))</f>
        <v>39783</v>
      </c>
      <c r="D1119" s="18">
        <f>IF(INDEX(emprunts!O:O,MATCH($A1119,emprunts!$A:$A,0))="",INDEX(emprunts!N:N,MATCH($A1119,emprunts!$A:$A,0)),MIN(INDEX(emprunts!N:N,MATCH($A1119,emprunts!$A:$A,0)),INDEX(emprunts!O:O,MATCH($A1119,emprunts!$A:$A,0))))</f>
        <v>41244</v>
      </c>
      <c r="E1119" s="52">
        <f>INDEX(emprunts!I:I,MATCH($A1119,emprunts!$A:$A,0))</f>
        <v>25</v>
      </c>
      <c r="F1119" s="18" t="str">
        <f>INDEX(emprunts!P:P,MATCH($A1119,emprunts!$A:$A,0))</f>
        <v>Pente</v>
      </c>
      <c r="G1119" s="126" t="str">
        <f>IF(LEFT(A1119,3)="vx_","vx",INDEX(Categorie,MATCH($A1119,emprunts!$A$2:$A$149,0)))</f>
        <v>Struct</v>
      </c>
      <c r="H1119">
        <v>2016</v>
      </c>
      <c r="I1119">
        <f t="shared" si="184"/>
        <v>1</v>
      </c>
      <c r="N1119"/>
      <c r="O1119" s="58"/>
      <c r="P1119" s="75"/>
      <c r="Q1119" s="58"/>
      <c r="R1119" s="58"/>
      <c r="S1119" s="58"/>
      <c r="T1119" s="58"/>
      <c r="U1119" s="58"/>
      <c r="V1119" s="14" t="str">
        <f t="shared" si="180"/>
        <v/>
      </c>
      <c r="W1119" s="77"/>
      <c r="X1119" s="85">
        <f t="shared" si="185"/>
        <v>0</v>
      </c>
      <c r="Y1119" s="21" t="str">
        <f t="shared" si="183"/>
        <v/>
      </c>
      <c r="AA1119" s="55">
        <f t="shared" si="181"/>
        <v>0</v>
      </c>
      <c r="AB1119" s="55">
        <f t="shared" si="182"/>
        <v>0</v>
      </c>
      <c r="AC1119" s="55">
        <f t="shared" si="186"/>
        <v>0</v>
      </c>
    </row>
    <row r="1120" spans="1:29">
      <c r="A1120" t="s">
        <v>265</v>
      </c>
      <c r="B1120" s="16" t="str">
        <f>INDEX(emprunts!C:C,MATCH($A1120,emprunts!A:A,0))</f>
        <v>Dexia CL</v>
      </c>
      <c r="C1120" s="18">
        <f>INDEX(emprunts!M:M,MATCH($A1120,emprunts!$A:$A,0))</f>
        <v>39899</v>
      </c>
      <c r="D1120" s="18">
        <f>IF(INDEX(emprunts!O:O,MATCH($A1120,emprunts!$A:$A,0))="",INDEX(emprunts!N:N,MATCH($A1120,emprunts!$A:$A,0)),MIN(INDEX(emprunts!N:N,MATCH($A1120,emprunts!$A:$A,0)),INDEX(emprunts!O:O,MATCH($A1120,emprunts!$A:$A,0))))</f>
        <v>47209</v>
      </c>
      <c r="E1120" s="52">
        <f>INDEX(emprunts!I:I,MATCH($A1120,emprunts!$A:$A,0))</f>
        <v>20</v>
      </c>
      <c r="F1120" s="18" t="str">
        <f>INDEX(emprunts!P:P,MATCH($A1120,emprunts!$A:$A,0))</f>
        <v>Fixe</v>
      </c>
      <c r="G1120" s="126" t="str">
        <f>IF(LEFT(A1120,3)="vx_","vx",INDEX(Categorie,MATCH($A1120,emprunts!$A$2:$A$149,0)))</f>
        <v>Non_st</v>
      </c>
      <c r="H1120">
        <v>2016</v>
      </c>
      <c r="I1120">
        <f t="shared" si="184"/>
        <v>1</v>
      </c>
      <c r="N1120"/>
      <c r="O1120" s="58">
        <v>4344223</v>
      </c>
      <c r="P1120" s="75">
        <v>4.5400000000000003E-2</v>
      </c>
      <c r="Q1120" s="58">
        <v>205135.68</v>
      </c>
      <c r="R1120" s="58">
        <v>254003.7</v>
      </c>
      <c r="S1120" s="58"/>
      <c r="T1120" s="58">
        <v>49195.91</v>
      </c>
      <c r="U1120" s="58">
        <f>SUM(Q1120:S1120)</f>
        <v>459139.38</v>
      </c>
      <c r="V1120" s="14">
        <f t="shared" si="180"/>
        <v>0</v>
      </c>
      <c r="W1120" s="77"/>
      <c r="X1120" s="85">
        <f t="shared" si="185"/>
        <v>0</v>
      </c>
      <c r="Y1120" s="21">
        <f t="shared" si="183"/>
        <v>4.5235754582997542E-2</v>
      </c>
      <c r="AA1120" s="55">
        <f t="shared" si="181"/>
        <v>202259.22999999998</v>
      </c>
      <c r="AB1120" s="55">
        <f t="shared" si="182"/>
        <v>0.70000000018626451</v>
      </c>
      <c r="AC1120" s="55">
        <f t="shared" si="186"/>
        <v>4471224.8499999996</v>
      </c>
    </row>
    <row r="1121" spans="1:29">
      <c r="A1121" t="s">
        <v>267</v>
      </c>
      <c r="B1121" s="16" t="str">
        <f>INDEX(emprunts!C:C,MATCH($A1121,emprunts!A:A,0))</f>
        <v>Société Générale</v>
      </c>
      <c r="C1121" s="18">
        <f>INDEX(emprunts!M:M,MATCH($A1121,emprunts!$A:$A,0))</f>
        <v>39904</v>
      </c>
      <c r="D1121" s="18">
        <f>IF(INDEX(emprunts!O:O,MATCH($A1121,emprunts!$A:$A,0))="",INDEX(emprunts!N:N,MATCH($A1121,emprunts!$A:$A,0)),MIN(INDEX(emprunts!N:N,MATCH($A1121,emprunts!$A:$A,0)),INDEX(emprunts!O:O,MATCH($A1121,emprunts!$A:$A,0))))</f>
        <v>40452</v>
      </c>
      <c r="E1121" s="52">
        <f>INDEX(emprunts!I:I,MATCH($A1121,emprunts!$A:$A,0))</f>
        <v>18</v>
      </c>
      <c r="F1121" s="18" t="str">
        <f>INDEX(emprunts!P:P,MATCH($A1121,emprunts!$A:$A,0))</f>
        <v>Change</v>
      </c>
      <c r="G1121" s="126" t="str">
        <f>IF(LEFT(A1121,3)="vx_","vx",INDEX(Categorie,MATCH($A1121,emprunts!$A$2:$A$149,0)))</f>
        <v>Struct</v>
      </c>
      <c r="H1121">
        <v>2016</v>
      </c>
      <c r="I1121">
        <f t="shared" si="184"/>
        <v>1</v>
      </c>
      <c r="N1121"/>
      <c r="O1121" s="58"/>
      <c r="P1121" s="75"/>
      <c r="Q1121" s="58"/>
      <c r="R1121" s="58"/>
      <c r="S1121" s="58"/>
      <c r="T1121" s="58"/>
      <c r="U1121" s="58"/>
      <c r="V1121" s="14" t="str">
        <f t="shared" si="180"/>
        <v/>
      </c>
      <c r="W1121" s="77"/>
      <c r="X1121" s="85">
        <f t="shared" si="185"/>
        <v>0</v>
      </c>
      <c r="Y1121" s="21" t="str">
        <f t="shared" si="183"/>
        <v/>
      </c>
      <c r="AA1121" s="55">
        <f t="shared" si="181"/>
        <v>0</v>
      </c>
      <c r="AB1121" s="55">
        <f t="shared" si="182"/>
        <v>0</v>
      </c>
      <c r="AC1121" s="55">
        <f t="shared" si="186"/>
        <v>0</v>
      </c>
    </row>
    <row r="1122" spans="1:29">
      <c r="A1122" t="s">
        <v>269</v>
      </c>
      <c r="B1122" s="16" t="str">
        <f>INDEX(emprunts!C:C,MATCH($A1122,emprunts!A:A,0))</f>
        <v>Dexia CL</v>
      </c>
      <c r="C1122" s="18">
        <f>INDEX(emprunts!M:M,MATCH($A1122,emprunts!$A:$A,0))</f>
        <v>40087</v>
      </c>
      <c r="D1122" s="18">
        <f>IF(INDEX(emprunts!O:O,MATCH($A1122,emprunts!$A:$A,0))="",INDEX(emprunts!N:N,MATCH($A1122,emprunts!$A:$A,0)),MIN(INDEX(emprunts!N:N,MATCH($A1122,emprunts!$A:$A,0)),INDEX(emprunts!O:O,MATCH($A1122,emprunts!$A:$A,0))))</f>
        <v>40452</v>
      </c>
      <c r="E1122" s="52">
        <f>INDEX(emprunts!I:I,MATCH($A1122,emprunts!$A:$A,0))</f>
        <v>16</v>
      </c>
      <c r="F1122" s="18" t="str">
        <f>INDEX(emprunts!P:P,MATCH($A1122,emprunts!$A:$A,0))</f>
        <v>Change</v>
      </c>
      <c r="G1122" s="126" t="str">
        <f>IF(LEFT(A1122,3)="vx_","vx",INDEX(Categorie,MATCH($A1122,emprunts!$A$2:$A$149,0)))</f>
        <v>Struct</v>
      </c>
      <c r="H1122">
        <v>2016</v>
      </c>
      <c r="I1122">
        <f t="shared" si="184"/>
        <v>1</v>
      </c>
      <c r="N1122"/>
      <c r="O1122" s="58"/>
      <c r="P1122" s="75"/>
      <c r="Q1122" s="58"/>
      <c r="R1122" s="58"/>
      <c r="S1122" s="58"/>
      <c r="T1122" s="58"/>
      <c r="U1122" s="58"/>
      <c r="V1122" s="14" t="str">
        <f t="shared" si="180"/>
        <v/>
      </c>
      <c r="W1122" s="77"/>
      <c r="X1122" s="85">
        <f t="shared" si="185"/>
        <v>0</v>
      </c>
      <c r="Y1122" s="21" t="str">
        <f t="shared" si="183"/>
        <v/>
      </c>
      <c r="AA1122" s="55">
        <f t="shared" si="181"/>
        <v>0</v>
      </c>
      <c r="AB1122" s="55">
        <f t="shared" si="182"/>
        <v>0</v>
      </c>
      <c r="AC1122" s="55">
        <f t="shared" si="186"/>
        <v>0</v>
      </c>
    </row>
    <row r="1123" spans="1:29">
      <c r="A1123" t="s">
        <v>270</v>
      </c>
      <c r="B1123" s="16" t="str">
        <f>INDEX(emprunts!C:C,MATCH($A1123,emprunts!A:A,0))</f>
        <v>Dexia CL</v>
      </c>
      <c r="C1123" s="18">
        <f>INDEX(emprunts!M:M,MATCH($A1123,emprunts!$A:$A,0))</f>
        <v>40118</v>
      </c>
      <c r="D1123" s="18">
        <f>IF(INDEX(emprunts!O:O,MATCH($A1123,emprunts!$A:$A,0))="",INDEX(emprunts!N:N,MATCH($A1123,emprunts!$A:$A,0)),MIN(INDEX(emprunts!N:N,MATCH($A1123,emprunts!$A:$A,0)),INDEX(emprunts!O:O,MATCH($A1123,emprunts!$A:$A,0))))</f>
        <v>43040</v>
      </c>
      <c r="E1123" s="52">
        <f>INDEX(emprunts!I:I,MATCH($A1123,emprunts!$A:$A,0))</f>
        <v>23</v>
      </c>
      <c r="F1123" s="18" t="str">
        <f>INDEX(emprunts!P:P,MATCH($A1123,emprunts!$A:$A,0))</f>
        <v>Pente</v>
      </c>
      <c r="G1123" s="126" t="str">
        <f>IF(LEFT(A1123,3)="vx_","vx",INDEX(Categorie,MATCH($A1123,emprunts!$A$2:$A$149,0)))</f>
        <v>Struct</v>
      </c>
      <c r="H1123">
        <v>2016</v>
      </c>
      <c r="I1123">
        <f t="shared" si="184"/>
        <v>1</v>
      </c>
      <c r="N1123"/>
      <c r="O1123" s="58">
        <v>9938300</v>
      </c>
      <c r="P1123" s="75">
        <v>3.7900000000000003E-2</v>
      </c>
      <c r="Q1123" s="58">
        <v>400159.4</v>
      </c>
      <c r="R1123" s="58">
        <v>585748.06999999995</v>
      </c>
      <c r="S1123" s="58"/>
      <c r="T1123" s="58">
        <v>61948.74</v>
      </c>
      <c r="U1123" s="58">
        <f>SUM(Q1123:S1123)</f>
        <v>985907.47</v>
      </c>
      <c r="V1123" s="14">
        <f t="shared" si="180"/>
        <v>0</v>
      </c>
      <c r="W1123" s="77"/>
      <c r="X1123" s="85">
        <f t="shared" si="185"/>
        <v>0</v>
      </c>
      <c r="Y1123" s="21">
        <f t="shared" si="183"/>
        <v>3.8754911082890205E-2</v>
      </c>
      <c r="AA1123" s="55">
        <f t="shared" si="181"/>
        <v>396508.24</v>
      </c>
      <c r="AB1123" s="55">
        <f t="shared" si="182"/>
        <v>7.0000000298023224E-2</v>
      </c>
      <c r="AC1123" s="55">
        <f t="shared" si="186"/>
        <v>10231174.035</v>
      </c>
    </row>
    <row r="1124" spans="1:29">
      <c r="A1124" t="s">
        <v>272</v>
      </c>
      <c r="B1124" s="16" t="str">
        <f>INDEX(emprunts!C:C,MATCH($A1124,emprunts!A:A,0))</f>
        <v>Dexia CL</v>
      </c>
      <c r="C1124" s="18">
        <f>INDEX(emprunts!M:M,MATCH($A1124,emprunts!$A:$A,0))</f>
        <v>40133</v>
      </c>
      <c r="D1124" s="18">
        <f>IF(INDEX(emprunts!O:O,MATCH($A1124,emprunts!$A:$A,0))="",INDEX(emprunts!N:N,MATCH($A1124,emprunts!$A:$A,0)),MIN(INDEX(emprunts!N:N,MATCH($A1124,emprunts!$A:$A,0)),INDEX(emprunts!O:O,MATCH($A1124,emprunts!$A:$A,0))))</f>
        <v>40878</v>
      </c>
      <c r="E1124" s="52">
        <f>INDEX(emprunts!I:I,MATCH($A1124,emprunts!$A:$A,0))</f>
        <v>25</v>
      </c>
      <c r="F1124" s="18" t="str">
        <f>INDEX(emprunts!P:P,MATCH($A1124,emprunts!$A:$A,0))</f>
        <v>Variable</v>
      </c>
      <c r="G1124" s="126" t="str">
        <f>IF(LEFT(A1124,3)="vx_","vx",INDEX(Categorie,MATCH($A1124,emprunts!$A$2:$A$149,0)))</f>
        <v>Non_st</v>
      </c>
      <c r="H1124">
        <v>2016</v>
      </c>
      <c r="I1124">
        <f t="shared" si="184"/>
        <v>1</v>
      </c>
      <c r="N1124"/>
      <c r="O1124" s="58"/>
      <c r="P1124" s="75"/>
      <c r="Q1124" s="58"/>
      <c r="R1124" s="58"/>
      <c r="S1124" s="58"/>
      <c r="T1124" s="58"/>
      <c r="U1124" s="58"/>
      <c r="V1124" s="14" t="str">
        <f t="shared" si="180"/>
        <v/>
      </c>
      <c r="W1124" s="77"/>
      <c r="X1124" s="85">
        <f t="shared" si="185"/>
        <v>0</v>
      </c>
      <c r="Y1124" s="21" t="str">
        <f t="shared" si="183"/>
        <v/>
      </c>
      <c r="AA1124" s="55">
        <f t="shared" si="181"/>
        <v>0</v>
      </c>
      <c r="AB1124" s="55">
        <f t="shared" si="182"/>
        <v>0</v>
      </c>
      <c r="AC1124" s="55">
        <f t="shared" si="186"/>
        <v>0</v>
      </c>
    </row>
    <row r="1125" spans="1:29" ht="30">
      <c r="A1125" t="s">
        <v>274</v>
      </c>
      <c r="B1125" s="16" t="str">
        <f>INDEX(emprunts!C:C,MATCH($A1125,emprunts!A:A,0))</f>
        <v>Caisse d'Épargne</v>
      </c>
      <c r="C1125" s="18">
        <f>INDEX(emprunts!M:M,MATCH($A1125,emprunts!$A:$A,0))</f>
        <v>40142</v>
      </c>
      <c r="D1125" s="18">
        <f>IF(INDEX(emprunts!O:O,MATCH($A1125,emprunts!$A:$A,0))="",INDEX(emprunts!N:N,MATCH($A1125,emprunts!$A:$A,0)),MIN(INDEX(emprunts!N:N,MATCH($A1125,emprunts!$A:$A,0)),INDEX(emprunts!O:O,MATCH($A1125,emprunts!$A:$A,0))))</f>
        <v>46351</v>
      </c>
      <c r="E1125" s="52">
        <f>INDEX(emprunts!I:I,MATCH($A1125,emprunts!$A:$A,0))</f>
        <v>17</v>
      </c>
      <c r="F1125" s="18" t="str">
        <f>INDEX(emprunts!P:P,MATCH($A1125,emprunts!$A:$A,0))</f>
        <v>Fixe</v>
      </c>
      <c r="G1125" s="126" t="str">
        <f>IF(LEFT(A1125,3)="vx_","vx",INDEX(Categorie,MATCH($A1125,emprunts!$A$2:$A$149,0)))</f>
        <v>Restr_sec</v>
      </c>
      <c r="H1125">
        <v>2016</v>
      </c>
      <c r="I1125">
        <f t="shared" si="184"/>
        <v>1</v>
      </c>
      <c r="N1125"/>
      <c r="O1125" s="58">
        <v>2924452</v>
      </c>
      <c r="P1125" s="75">
        <v>4.7699999999999999E-2</v>
      </c>
      <c r="Q1125" s="58">
        <v>151248.91</v>
      </c>
      <c r="R1125" s="58">
        <v>240854.41</v>
      </c>
      <c r="S1125" s="58"/>
      <c r="T1125" s="58">
        <v>13744.93</v>
      </c>
      <c r="U1125" s="58">
        <f>SUM(Q1125:S1125)</f>
        <v>392103.32</v>
      </c>
      <c r="V1125" s="14">
        <f t="shared" si="180"/>
        <v>0</v>
      </c>
      <c r="W1125" s="77"/>
      <c r="X1125" s="85">
        <f t="shared" si="185"/>
        <v>0</v>
      </c>
      <c r="Y1125" s="21">
        <f t="shared" si="183"/>
        <v>4.9301430333752762E-2</v>
      </c>
      <c r="AA1125" s="55">
        <f t="shared" si="181"/>
        <v>150116.9</v>
      </c>
      <c r="AB1125" s="55">
        <f t="shared" si="182"/>
        <v>-0.58999999985098839</v>
      </c>
      <c r="AC1125" s="55">
        <f t="shared" si="186"/>
        <v>3044879.2050000001</v>
      </c>
    </row>
    <row r="1126" spans="1:29">
      <c r="A1126" t="s">
        <v>276</v>
      </c>
      <c r="B1126" s="16" t="str">
        <f>INDEX(emprunts!C:C,MATCH($A1126,emprunts!A:A,0))</f>
        <v>Arkea</v>
      </c>
      <c r="C1126" s="18">
        <f>INDEX(emprunts!M:M,MATCH($A1126,emprunts!$A:$A,0))</f>
        <v>40168</v>
      </c>
      <c r="D1126" s="18">
        <f>IF(INDEX(emprunts!O:O,MATCH($A1126,emprunts!$A:$A,0))="",INDEX(emprunts!N:N,MATCH($A1126,emprunts!$A:$A,0)),MIN(INDEX(emprunts!N:N,MATCH($A1126,emprunts!$A:$A,0)),INDEX(emprunts!O:O,MATCH($A1126,emprunts!$A:$A,0))))</f>
        <v>47786</v>
      </c>
      <c r="E1126" s="52">
        <f>INDEX(emprunts!I:I,MATCH($A1126,emprunts!$A:$A,0))</f>
        <v>20</v>
      </c>
      <c r="F1126" s="18" t="str">
        <f>INDEX(emprunts!P:P,MATCH($A1126,emprunts!$A:$A,0))</f>
        <v>Variable</v>
      </c>
      <c r="G1126" s="126" t="str">
        <f>IF(LEFT(A1126,3)="vx_","vx",INDEX(Categorie,MATCH($A1126,emprunts!$A$2:$A$149,0)))</f>
        <v>Non_st</v>
      </c>
      <c r="H1126">
        <v>2016</v>
      </c>
      <c r="I1126">
        <f t="shared" si="184"/>
        <v>1</v>
      </c>
      <c r="N1126"/>
      <c r="O1126" s="58">
        <v>0</v>
      </c>
      <c r="P1126" s="75">
        <v>3.7000000000000002E-3</v>
      </c>
      <c r="Q1126" s="58">
        <v>7181.87</v>
      </c>
      <c r="R1126" s="58">
        <f>116121.73+7647134</f>
        <v>7763255.7300000004</v>
      </c>
      <c r="S1126" s="58"/>
      <c r="T1126" s="58">
        <v>0</v>
      </c>
      <c r="U1126" s="58">
        <f>SUM(Q1126:S1126)</f>
        <v>7770437.6000000006</v>
      </c>
      <c r="V1126" s="14">
        <f t="shared" si="180"/>
        <v>0</v>
      </c>
      <c r="W1126" s="77"/>
      <c r="X1126" s="85">
        <f t="shared" si="185"/>
        <v>0</v>
      </c>
      <c r="Y1126" s="21">
        <f t="shared" si="183"/>
        <v>6.0333192192806961E-4</v>
      </c>
      <c r="Z1126" t="s">
        <v>687</v>
      </c>
      <c r="AA1126" s="55">
        <f t="shared" si="181"/>
        <v>2341.91</v>
      </c>
      <c r="AB1126" s="55">
        <f t="shared" si="182"/>
        <v>-0.26999999955296516</v>
      </c>
      <c r="AC1126" s="55">
        <f t="shared" si="186"/>
        <v>3881627.8650000002</v>
      </c>
    </row>
    <row r="1127" spans="1:29">
      <c r="A1127" t="s">
        <v>284</v>
      </c>
      <c r="B1127" s="16" t="str">
        <f>INDEX(emprunts!C:C,MATCH($A1127,emprunts!A:A,0))</f>
        <v>Société Générale</v>
      </c>
      <c r="C1127" s="18">
        <f>INDEX(emprunts!M:M,MATCH($A1127,emprunts!$A:$A,0))</f>
        <v>40452</v>
      </c>
      <c r="D1127" s="18">
        <f>IF(INDEX(emprunts!O:O,MATCH($A1127,emprunts!$A:$A,0))="",INDEX(emprunts!N:N,MATCH($A1127,emprunts!$A:$A,0)),MIN(INDEX(emprunts!N:N,MATCH($A1127,emprunts!$A:$A,0)),INDEX(emprunts!O:O,MATCH($A1127,emprunts!$A:$A,0))))</f>
        <v>41640</v>
      </c>
      <c r="E1127" s="52">
        <f>INDEX(emprunts!I:I,MATCH($A1127,emprunts!$A:$A,0))</f>
        <v>25</v>
      </c>
      <c r="F1127" s="18" t="str">
        <f>INDEX(emprunts!P:P,MATCH($A1127,emprunts!$A:$A,0))</f>
        <v>Barrière avec multiplicateur</v>
      </c>
      <c r="G1127" s="126" t="str">
        <f>IF(LEFT(A1127,3)="vx_","vx",INDEX(Categorie,MATCH($A1127,emprunts!$A$2:$A$149,0)))</f>
        <v>Struct</v>
      </c>
      <c r="H1127">
        <v>2016</v>
      </c>
      <c r="I1127">
        <f t="shared" si="184"/>
        <v>1</v>
      </c>
      <c r="N1127"/>
      <c r="O1127" s="58"/>
      <c r="P1127" s="75"/>
      <c r="Q1127" s="58"/>
      <c r="R1127" s="58"/>
      <c r="S1127" s="58"/>
      <c r="T1127" s="58"/>
      <c r="U1127" s="58"/>
      <c r="V1127" s="14" t="str">
        <f t="shared" si="180"/>
        <v/>
      </c>
      <c r="W1127" s="77"/>
      <c r="X1127" s="85">
        <f t="shared" si="185"/>
        <v>0</v>
      </c>
      <c r="Y1127" s="21" t="str">
        <f t="shared" si="183"/>
        <v/>
      </c>
      <c r="AA1127" s="55">
        <f t="shared" si="181"/>
        <v>0</v>
      </c>
      <c r="AB1127" s="55">
        <f t="shared" si="182"/>
        <v>0</v>
      </c>
      <c r="AC1127" s="55">
        <f t="shared" si="186"/>
        <v>0</v>
      </c>
    </row>
    <row r="1128" spans="1:29">
      <c r="A1128" t="s">
        <v>286</v>
      </c>
      <c r="B1128" s="16" t="str">
        <f>INDEX(emprunts!C:C,MATCH($A1128,emprunts!A:A,0))</f>
        <v>Dexia CL</v>
      </c>
      <c r="C1128" s="18">
        <f>INDEX(emprunts!M:M,MATCH($A1128,emprunts!$A:$A,0))</f>
        <v>40179</v>
      </c>
      <c r="D1128" s="18">
        <f>IF(INDEX(emprunts!O:O,MATCH($A1128,emprunts!$A:$A,0))="",INDEX(emprunts!N:N,MATCH($A1128,emprunts!$A:$A,0)),MIN(INDEX(emprunts!N:N,MATCH($A1128,emprunts!$A:$A,0)),INDEX(emprunts!O:O,MATCH($A1128,emprunts!$A:$A,0))))</f>
        <v>40848</v>
      </c>
      <c r="E1128" s="52">
        <f>INDEX(emprunts!I:I,MATCH($A1128,emprunts!$A:$A,0))</f>
        <v>23</v>
      </c>
      <c r="F1128" s="18" t="str">
        <f>INDEX(emprunts!P:P,MATCH($A1128,emprunts!$A:$A,0))</f>
        <v>Barrière avec multiplicateur</v>
      </c>
      <c r="G1128" s="126" t="str">
        <f>IF(LEFT(A1128,3)="vx_","vx",INDEX(Categorie,MATCH($A1128,emprunts!$A$2:$A$149,0)))</f>
        <v>Struct</v>
      </c>
      <c r="H1128">
        <v>2016</v>
      </c>
      <c r="I1128">
        <f t="shared" si="184"/>
        <v>1</v>
      </c>
      <c r="N1128"/>
      <c r="O1128" s="58"/>
      <c r="P1128" s="75"/>
      <c r="Q1128" s="58"/>
      <c r="R1128" s="58"/>
      <c r="S1128" s="58"/>
      <c r="T1128" s="58"/>
      <c r="U1128" s="58"/>
      <c r="V1128" s="14" t="str">
        <f t="shared" si="180"/>
        <v/>
      </c>
      <c r="W1128" s="77"/>
      <c r="X1128" s="85">
        <f t="shared" si="185"/>
        <v>0</v>
      </c>
      <c r="Y1128" s="21" t="str">
        <f t="shared" si="183"/>
        <v/>
      </c>
      <c r="AA1128" s="55">
        <f t="shared" si="181"/>
        <v>0</v>
      </c>
      <c r="AB1128" s="55">
        <f t="shared" si="182"/>
        <v>0</v>
      </c>
      <c r="AC1128" s="55">
        <f t="shared" si="186"/>
        <v>0</v>
      </c>
    </row>
    <row r="1129" spans="1:29">
      <c r="A1129" t="s">
        <v>288</v>
      </c>
      <c r="B1129" s="16" t="str">
        <f>INDEX(emprunts!C:C,MATCH($A1129,emprunts!A:A,0))</f>
        <v>Société Générale</v>
      </c>
      <c r="C1129" s="18">
        <f>INDEX(emprunts!M:M,MATCH($A1129,emprunts!$A:$A,0))</f>
        <v>40452</v>
      </c>
      <c r="D1129" s="18">
        <f>IF(INDEX(emprunts!O:O,MATCH($A1129,emprunts!$A:$A,0))="",INDEX(emprunts!N:N,MATCH($A1129,emprunts!$A:$A,0)),MIN(INDEX(emprunts!N:N,MATCH($A1129,emprunts!$A:$A,0)),INDEX(emprunts!O:O,MATCH($A1129,emprunts!$A:$A,0))))</f>
        <v>41730</v>
      </c>
      <c r="E1129" s="52">
        <f>INDEX(emprunts!I:I,MATCH($A1129,emprunts!$A:$A,0))</f>
        <v>25</v>
      </c>
      <c r="F1129" s="18" t="str">
        <f>INDEX(emprunts!P:P,MATCH($A1129,emprunts!$A:$A,0))</f>
        <v>Barrière avec multiplicateur</v>
      </c>
      <c r="G1129" s="126" t="str">
        <f>IF(LEFT(A1129,3)="vx_","vx",INDEX(Categorie,MATCH($A1129,emprunts!$A$2:$A$149,0)))</f>
        <v>Struct</v>
      </c>
      <c r="H1129">
        <v>2016</v>
      </c>
      <c r="I1129">
        <f t="shared" si="184"/>
        <v>1</v>
      </c>
      <c r="N1129"/>
      <c r="O1129" s="58"/>
      <c r="P1129" s="75"/>
      <c r="Q1129" s="58"/>
      <c r="R1129" s="58"/>
      <c r="S1129" s="58"/>
      <c r="T1129" s="58"/>
      <c r="U1129" s="58"/>
      <c r="V1129" s="14" t="str">
        <f t="shared" si="180"/>
        <v/>
      </c>
      <c r="W1129" s="77"/>
      <c r="X1129" s="85">
        <f t="shared" si="185"/>
        <v>0</v>
      </c>
      <c r="Y1129" s="21" t="str">
        <f t="shared" si="183"/>
        <v/>
      </c>
      <c r="AA1129" s="55">
        <f t="shared" si="181"/>
        <v>0</v>
      </c>
      <c r="AB1129" s="55">
        <f t="shared" si="182"/>
        <v>0</v>
      </c>
      <c r="AC1129" s="55">
        <f t="shared" si="186"/>
        <v>0</v>
      </c>
    </row>
    <row r="1130" spans="1:29">
      <c r="A1130" t="s">
        <v>289</v>
      </c>
      <c r="B1130" s="16" t="str">
        <f>INDEX(emprunts!C:C,MATCH($A1130,emprunts!A:A,0))</f>
        <v>Dexia CL</v>
      </c>
      <c r="C1130" s="18">
        <f>INDEX(emprunts!M:M,MATCH($A1130,emprunts!$A:$A,0))</f>
        <v>40299</v>
      </c>
      <c r="D1130" s="18">
        <f>IF(INDEX(emprunts!O:O,MATCH($A1130,emprunts!$A:$A,0))="",INDEX(emprunts!N:N,MATCH($A1130,emprunts!$A:$A,0)),MIN(INDEX(emprunts!N:N,MATCH($A1130,emprunts!$A:$A,0)),INDEX(emprunts!O:O,MATCH($A1130,emprunts!$A:$A,0))))</f>
        <v>40737</v>
      </c>
      <c r="E1130" s="52">
        <f>INDEX(emprunts!I:I,MATCH($A1130,emprunts!$A:$A,0))</f>
        <v>19</v>
      </c>
      <c r="F1130" s="18" t="str">
        <f>INDEX(emprunts!P:P,MATCH($A1130,emprunts!$A:$A,0))</f>
        <v>Barrière avec multiplicateur</v>
      </c>
      <c r="G1130" s="126" t="str">
        <f>IF(LEFT(A1130,3)="vx_","vx",INDEX(Categorie,MATCH($A1130,emprunts!$A$2:$A$149,0)))</f>
        <v>Struct</v>
      </c>
      <c r="H1130">
        <v>2016</v>
      </c>
      <c r="I1130">
        <f t="shared" si="184"/>
        <v>1</v>
      </c>
      <c r="N1130"/>
      <c r="O1130" s="58"/>
      <c r="P1130" s="75"/>
      <c r="Q1130" s="58"/>
      <c r="R1130" s="58"/>
      <c r="S1130" s="58"/>
      <c r="T1130" s="58"/>
      <c r="U1130" s="58"/>
      <c r="V1130" s="14" t="str">
        <f t="shared" si="180"/>
        <v/>
      </c>
      <c r="W1130" s="77"/>
      <c r="X1130" s="85">
        <f t="shared" si="185"/>
        <v>0</v>
      </c>
      <c r="Y1130" s="21" t="str">
        <f t="shared" si="183"/>
        <v/>
      </c>
      <c r="AA1130" s="55">
        <f t="shared" si="181"/>
        <v>0</v>
      </c>
      <c r="AB1130" s="55">
        <f t="shared" si="182"/>
        <v>0</v>
      </c>
      <c r="AC1130" s="55">
        <f t="shared" si="186"/>
        <v>0</v>
      </c>
    </row>
    <row r="1131" spans="1:29">
      <c r="A1131" t="s">
        <v>300</v>
      </c>
      <c r="B1131" s="16" t="str">
        <f>INDEX(emprunts!C:C,MATCH($A1131,emprunts!A:A,0))</f>
        <v>Dexia CL</v>
      </c>
      <c r="C1131" s="18">
        <f>INDEX(emprunts!M:M,MATCH($A1131,emprunts!$A:$A,0))</f>
        <v>40452</v>
      </c>
      <c r="D1131" s="18">
        <f>IF(INDEX(emprunts!O:O,MATCH($A1131,emprunts!$A:$A,0))="",INDEX(emprunts!N:N,MATCH($A1131,emprunts!$A:$A,0)),MIN(INDEX(emprunts!N:N,MATCH($A1131,emprunts!$A:$A,0)),INDEX(emprunts!O:O,MATCH($A1131,emprunts!$A:$A,0))))</f>
        <v>40664</v>
      </c>
      <c r="E1131" s="52">
        <f>INDEX(emprunts!I:I,MATCH($A1131,emprunts!$A:$A,0))</f>
        <v>12</v>
      </c>
      <c r="F1131" s="18" t="str">
        <f>INDEX(emprunts!P:P,MATCH($A1131,emprunts!$A:$A,0))</f>
        <v>Change</v>
      </c>
      <c r="G1131" s="126" t="str">
        <f>IF(LEFT(A1131,3)="vx_","vx",INDEX(Categorie,MATCH($A1131,emprunts!$A$2:$A$149,0)))</f>
        <v>Struct</v>
      </c>
      <c r="H1131">
        <v>2016</v>
      </c>
      <c r="I1131">
        <f t="shared" si="184"/>
        <v>1</v>
      </c>
      <c r="N1131"/>
      <c r="O1131" s="58"/>
      <c r="P1131" s="75"/>
      <c r="Q1131" s="58"/>
      <c r="R1131" s="58"/>
      <c r="S1131" s="58"/>
      <c r="T1131" s="58"/>
      <c r="U1131" s="58"/>
      <c r="V1131" s="14" t="str">
        <f t="shared" si="180"/>
        <v/>
      </c>
      <c r="W1131" s="77"/>
      <c r="X1131" s="85">
        <f t="shared" si="185"/>
        <v>0</v>
      </c>
      <c r="Y1131" s="21" t="str">
        <f t="shared" si="183"/>
        <v/>
      </c>
      <c r="AA1131" s="55">
        <f t="shared" si="181"/>
        <v>0</v>
      </c>
      <c r="AB1131" s="55">
        <f t="shared" si="182"/>
        <v>0</v>
      </c>
      <c r="AC1131" s="55">
        <f t="shared" si="186"/>
        <v>0</v>
      </c>
    </row>
    <row r="1132" spans="1:29">
      <c r="A1132" t="s">
        <v>302</v>
      </c>
      <c r="B1132" s="16" t="str">
        <f>INDEX(emprunts!C:C,MATCH($A1132,emprunts!A:A,0))</f>
        <v>Dexia CL</v>
      </c>
      <c r="C1132" s="18">
        <f>INDEX(emprunts!M:M,MATCH($A1132,emprunts!$A:$A,0))</f>
        <v>40384</v>
      </c>
      <c r="D1132" s="18">
        <f>IF(INDEX(emprunts!O:O,MATCH($A1132,emprunts!$A:$A,0))="",INDEX(emprunts!N:N,MATCH($A1132,emprunts!$A:$A,0)),MIN(INDEX(emprunts!N:N,MATCH($A1132,emprunts!$A:$A,0)),INDEX(emprunts!O:O,MATCH($A1132,emprunts!$A:$A,0))))</f>
        <v>45901</v>
      </c>
      <c r="E1132" s="52">
        <f>INDEX(emprunts!I:I,MATCH($A1132,emprunts!$A:$A,0))</f>
        <v>15</v>
      </c>
      <c r="F1132" s="18" t="str">
        <f>INDEX(emprunts!P:P,MATCH($A1132,emprunts!$A:$A,0))</f>
        <v>Fixe</v>
      </c>
      <c r="G1132" s="126" t="str">
        <f>IF(LEFT(A1132,3)="vx_","vx",INDEX(Categorie,MATCH($A1132,emprunts!$A$2:$A$149,0)))</f>
        <v>Non_st</v>
      </c>
      <c r="H1132">
        <v>2016</v>
      </c>
      <c r="I1132">
        <f t="shared" si="184"/>
        <v>1</v>
      </c>
      <c r="N1132"/>
      <c r="O1132" s="58">
        <v>466361</v>
      </c>
      <c r="P1132" s="75">
        <v>2.1299999999999999E-2</v>
      </c>
      <c r="Q1132" s="58">
        <v>10623.33</v>
      </c>
      <c r="R1132" s="58">
        <v>47962.75</v>
      </c>
      <c r="S1132" s="58"/>
      <c r="T1132" s="58">
        <v>803.95</v>
      </c>
      <c r="U1132" s="58">
        <f>SUM(Q1132:S1132)</f>
        <v>58586.080000000002</v>
      </c>
      <c r="V1132" s="14">
        <f t="shared" si="180"/>
        <v>0</v>
      </c>
      <c r="W1132" s="77"/>
      <c r="X1132" s="85">
        <f t="shared" si="185"/>
        <v>0</v>
      </c>
      <c r="Y1132" s="21">
        <f t="shared" si="183"/>
        <v>2.145470295117774E-2</v>
      </c>
      <c r="AA1132" s="55">
        <f t="shared" si="181"/>
        <v>10520.150000000001</v>
      </c>
      <c r="AB1132" s="55">
        <f t="shared" si="182"/>
        <v>-0.25</v>
      </c>
      <c r="AC1132" s="55">
        <f t="shared" si="186"/>
        <v>490342.375</v>
      </c>
    </row>
    <row r="1133" spans="1:29" ht="30">
      <c r="A1133" t="s">
        <v>304</v>
      </c>
      <c r="B1133" s="16" t="str">
        <f>INDEX(emprunts!C:C,MATCH($A1133,emprunts!A:A,0))</f>
        <v>Société Générale</v>
      </c>
      <c r="C1133" s="18">
        <f>INDEX(emprunts!M:M,MATCH($A1133,emprunts!$A:$A,0))</f>
        <v>40422</v>
      </c>
      <c r="D1133" s="18">
        <f>IF(INDEX(emprunts!O:O,MATCH($A1133,emprunts!$A:$A,0))="",INDEX(emprunts!N:N,MATCH($A1133,emprunts!$A:$A,0)),MIN(INDEX(emprunts!N:N,MATCH($A1133,emprunts!$A:$A,0)),INDEX(emprunts!O:O,MATCH($A1133,emprunts!$A:$A,0))))</f>
        <v>47818</v>
      </c>
      <c r="E1133" s="52">
        <f>INDEX(emprunts!I:I,MATCH($A1133,emprunts!$A:$A,0))</f>
        <v>20</v>
      </c>
      <c r="F1133" s="18" t="str">
        <f>INDEX(emprunts!P:P,MATCH($A1133,emprunts!$A:$A,0))</f>
        <v>Fixe</v>
      </c>
      <c r="G1133" s="126" t="str">
        <f>IF(LEFT(A1133,3)="vx_","vx",INDEX(Categorie,MATCH($A1133,emprunts!$A$2:$A$149,0)))</f>
        <v>Restr_sec</v>
      </c>
      <c r="H1133">
        <v>2016</v>
      </c>
      <c r="I1133">
        <f t="shared" si="184"/>
        <v>1</v>
      </c>
      <c r="N1133"/>
      <c r="O1133" s="58">
        <v>1422056</v>
      </c>
      <c r="P1133" s="75">
        <v>4.3900000000000002E-2</v>
      </c>
      <c r="Q1133" s="58">
        <v>64886.94</v>
      </c>
      <c r="R1133" s="58">
        <v>69103.740000000005</v>
      </c>
      <c r="S1133" s="58"/>
      <c r="T1133" s="58">
        <v>5131.25</v>
      </c>
      <c r="U1133" s="58">
        <f>SUM(Q1133:S1133)</f>
        <v>133990.68</v>
      </c>
      <c r="V1133" s="14">
        <f t="shared" si="180"/>
        <v>0</v>
      </c>
      <c r="W1133" s="77"/>
      <c r="X1133" s="85">
        <f t="shared" si="185"/>
        <v>0</v>
      </c>
      <c r="Y1133" s="21">
        <f t="shared" si="183"/>
        <v>4.4375422741605809E-2</v>
      </c>
      <c r="AA1133" s="55">
        <f t="shared" si="181"/>
        <v>64637.590000000004</v>
      </c>
      <c r="AB1133" s="55">
        <f t="shared" si="182"/>
        <v>0.73999999999068677</v>
      </c>
      <c r="AC1133" s="55">
        <f t="shared" si="186"/>
        <v>1456607.87</v>
      </c>
    </row>
    <row r="1134" spans="1:29">
      <c r="A1134" t="s">
        <v>306</v>
      </c>
      <c r="B1134" s="16" t="str">
        <f>INDEX(emprunts!C:C,MATCH($A1134,emprunts!A:A,0))</f>
        <v>Dexia CL</v>
      </c>
      <c r="C1134" s="18">
        <f>INDEX(emprunts!M:M,MATCH($A1134,emprunts!$A:$A,0))</f>
        <v>40452</v>
      </c>
      <c r="D1134" s="18">
        <f>IF(INDEX(emprunts!O:O,MATCH($A1134,emprunts!$A:$A,0))="",INDEX(emprunts!N:N,MATCH($A1134,emprunts!$A:$A,0)),MIN(INDEX(emprunts!N:N,MATCH($A1134,emprunts!$A:$A,0)),INDEX(emprunts!O:O,MATCH($A1134,emprunts!$A:$A,0))))</f>
        <v>41030</v>
      </c>
      <c r="E1134" s="52">
        <f>INDEX(emprunts!I:I,MATCH($A1134,emprunts!$A:$A,0))</f>
        <v>15</v>
      </c>
      <c r="F1134" s="18" t="str">
        <f>INDEX(emprunts!P:P,MATCH($A1134,emprunts!$A:$A,0))</f>
        <v>Change</v>
      </c>
      <c r="G1134" s="126" t="str">
        <f>IF(LEFT(A1134,3)="vx_","vx",INDEX(Categorie,MATCH($A1134,emprunts!$A$2:$A$149,0)))</f>
        <v>Struct</v>
      </c>
      <c r="H1134">
        <v>2016</v>
      </c>
      <c r="I1134">
        <f t="shared" si="184"/>
        <v>1</v>
      </c>
      <c r="N1134"/>
      <c r="O1134" s="58"/>
      <c r="P1134" s="75"/>
      <c r="Q1134" s="58"/>
      <c r="R1134" s="58"/>
      <c r="S1134" s="58"/>
      <c r="T1134" s="58"/>
      <c r="U1134" s="58"/>
      <c r="V1134" s="14" t="str">
        <f t="shared" si="180"/>
        <v/>
      </c>
      <c r="W1134" s="77"/>
      <c r="X1134" s="85">
        <f t="shared" si="185"/>
        <v>0</v>
      </c>
      <c r="Y1134" s="21" t="str">
        <f t="shared" si="183"/>
        <v/>
      </c>
      <c r="AA1134" s="55">
        <f t="shared" si="181"/>
        <v>0</v>
      </c>
      <c r="AB1134" s="55">
        <f t="shared" si="182"/>
        <v>0</v>
      </c>
      <c r="AC1134" s="55">
        <f t="shared" si="186"/>
        <v>0</v>
      </c>
    </row>
    <row r="1135" spans="1:29">
      <c r="A1135" t="s">
        <v>311</v>
      </c>
      <c r="B1135" s="16" t="str">
        <f>INDEX(emprunts!C:C,MATCH($A1135,emprunts!A:A,0))</f>
        <v>Dexia CL</v>
      </c>
      <c r="C1135" s="18">
        <f>INDEX(emprunts!M:M,MATCH($A1135,emprunts!$A:$A,0))</f>
        <v>40513</v>
      </c>
      <c r="D1135" s="18">
        <f>IF(INDEX(emprunts!O:O,MATCH($A1135,emprunts!$A:$A,0))="",INDEX(emprunts!N:N,MATCH($A1135,emprunts!$A:$A,0)),MIN(INDEX(emprunts!N:N,MATCH($A1135,emprunts!$A:$A,0)),INDEX(emprunts!O:O,MATCH($A1135,emprunts!$A:$A,0))))</f>
        <v>40878</v>
      </c>
      <c r="E1135" s="52">
        <f>INDEX(emprunts!I:I,MATCH($A1135,emprunts!$A:$A,0))</f>
        <v>17</v>
      </c>
      <c r="F1135" s="18" t="str">
        <f>INDEX(emprunts!P:P,MATCH($A1135,emprunts!$A:$A,0))</f>
        <v>Change</v>
      </c>
      <c r="G1135" s="126" t="str">
        <f>IF(LEFT(A1135,3)="vx_","vx",INDEX(Categorie,MATCH($A1135,emprunts!$A$2:$A$149,0)))</f>
        <v>Struct</v>
      </c>
      <c r="H1135">
        <v>2016</v>
      </c>
      <c r="I1135">
        <f t="shared" si="184"/>
        <v>1</v>
      </c>
      <c r="N1135"/>
      <c r="O1135" s="58"/>
      <c r="P1135" s="75"/>
      <c r="Q1135" s="58"/>
      <c r="R1135" s="58"/>
      <c r="S1135" s="58"/>
      <c r="T1135" s="58"/>
      <c r="U1135" s="58"/>
      <c r="V1135" s="14" t="str">
        <f t="shared" si="180"/>
        <v/>
      </c>
      <c r="W1135" s="77"/>
      <c r="X1135" s="85">
        <f t="shared" si="185"/>
        <v>0</v>
      </c>
      <c r="Y1135" s="21" t="str">
        <f t="shared" si="183"/>
        <v/>
      </c>
      <c r="AA1135" s="55">
        <f t="shared" si="181"/>
        <v>0</v>
      </c>
      <c r="AB1135" s="55">
        <f t="shared" si="182"/>
        <v>0</v>
      </c>
      <c r="AC1135" s="55">
        <f t="shared" si="186"/>
        <v>0</v>
      </c>
    </row>
    <row r="1136" spans="1:29" ht="30">
      <c r="A1136" t="s">
        <v>313</v>
      </c>
      <c r="B1136" s="16" t="str">
        <f>INDEX(emprunts!C:C,MATCH($A1136,emprunts!A:A,0))</f>
        <v>Société Générale</v>
      </c>
      <c r="C1136" s="18">
        <f>INDEX(emprunts!M:M,MATCH($A1136,emprunts!$A:$A,0))</f>
        <v>40513</v>
      </c>
      <c r="D1136" s="18">
        <f>IF(INDEX(emprunts!O:O,MATCH($A1136,emprunts!$A:$A,0))="",INDEX(emprunts!N:N,MATCH($A1136,emprunts!$A:$A,0)),MIN(INDEX(emprunts!N:N,MATCH($A1136,emprunts!$A:$A,0)),INDEX(emprunts!O:O,MATCH($A1136,emprunts!$A:$A,0))))</f>
        <v>47818</v>
      </c>
      <c r="E1136" s="52">
        <f>INDEX(emprunts!I:I,MATCH($A1136,emprunts!$A:$A,0))</f>
        <v>20</v>
      </c>
      <c r="F1136" s="18" t="str">
        <f>INDEX(emprunts!P:P,MATCH($A1136,emprunts!$A:$A,0))</f>
        <v>Fixe</v>
      </c>
      <c r="G1136" s="126" t="str">
        <f>IF(LEFT(A1136,3)="vx_","vx",INDEX(Categorie,MATCH($A1136,emprunts!$A$2:$A$149,0)))</f>
        <v>Restr_sec</v>
      </c>
      <c r="H1136">
        <v>2016</v>
      </c>
      <c r="I1136">
        <f t="shared" si="184"/>
        <v>1</v>
      </c>
      <c r="N1136"/>
      <c r="O1136" s="58">
        <v>2043071</v>
      </c>
      <c r="P1136" s="75">
        <v>4.3900000000000002E-2</v>
      </c>
      <c r="Q1136" s="58">
        <v>94309.92</v>
      </c>
      <c r="R1136" s="58">
        <v>99281.49</v>
      </c>
      <c r="S1136" s="58"/>
      <c r="T1136" s="58">
        <v>7372.08</v>
      </c>
      <c r="U1136" s="58">
        <f>SUM(Q1136:S1136)</f>
        <v>193591.41</v>
      </c>
      <c r="V1136" s="14">
        <f t="shared" si="180"/>
        <v>0</v>
      </c>
      <c r="W1136" s="77"/>
      <c r="X1136" s="85">
        <f t="shared" si="185"/>
        <v>0</v>
      </c>
      <c r="Y1136" s="21">
        <f t="shared" si="183"/>
        <v>4.4894706700277058E-2</v>
      </c>
      <c r="AA1136" s="55">
        <f t="shared" si="181"/>
        <v>93951.679999999993</v>
      </c>
      <c r="AB1136" s="55">
        <f t="shared" si="182"/>
        <v>0.49000000022351742</v>
      </c>
      <c r="AC1136" s="55">
        <f t="shared" si="186"/>
        <v>2092711.7450000001</v>
      </c>
    </row>
    <row r="1137" spans="1:29">
      <c r="A1137" t="s">
        <v>314</v>
      </c>
      <c r="B1137" s="16" t="str">
        <f>INDEX(emprunts!C:C,MATCH($A1137,emprunts!A:A,0))</f>
        <v>Société Générale</v>
      </c>
      <c r="C1137" s="18">
        <f>INDEX(emprunts!M:M,MATCH($A1137,emprunts!$A:$A,0))</f>
        <v>40530</v>
      </c>
      <c r="D1137" s="18">
        <f>IF(INDEX(emprunts!O:O,MATCH($A1137,emprunts!$A:$A,0))="",INDEX(emprunts!N:N,MATCH($A1137,emprunts!$A:$A,0)),MIN(INDEX(emprunts!N:N,MATCH($A1137,emprunts!$A:$A,0)),INDEX(emprunts!O:O,MATCH($A1137,emprunts!$A:$A,0))))</f>
        <v>46112</v>
      </c>
      <c r="E1137" s="52">
        <f>INDEX(emprunts!I:I,MATCH($A1137,emprunts!$A:$A,0))</f>
        <v>15</v>
      </c>
      <c r="F1137" s="18" t="str">
        <f>INDEX(emprunts!P:P,MATCH($A1137,emprunts!$A:$A,0))</f>
        <v>Variable</v>
      </c>
      <c r="G1137" s="126" t="str">
        <f>IF(LEFT(A1137,3)="vx_","vx",INDEX(Categorie,MATCH($A1137,emprunts!$A$2:$A$149,0)))</f>
        <v>Non_st</v>
      </c>
      <c r="H1137">
        <v>2016</v>
      </c>
      <c r="I1137">
        <f t="shared" si="184"/>
        <v>1</v>
      </c>
      <c r="N1137"/>
      <c r="O1137" s="58">
        <v>5618195</v>
      </c>
      <c r="P1137" s="75">
        <v>6.3E-3</v>
      </c>
      <c r="Q1137" s="58">
        <v>37179.9</v>
      </c>
      <c r="R1137" s="58">
        <v>465208.92</v>
      </c>
      <c r="S1137" s="58"/>
      <c r="T1137" s="58">
        <v>0</v>
      </c>
      <c r="U1137" s="58">
        <f>SUM(Q1137:S1137)</f>
        <v>502388.82</v>
      </c>
      <c r="V1137" s="14">
        <f t="shared" si="180"/>
        <v>0</v>
      </c>
      <c r="W1137" s="77"/>
      <c r="X1137" s="85">
        <f t="shared" si="185"/>
        <v>0</v>
      </c>
      <c r="Y1137" s="21">
        <f t="shared" si="183"/>
        <v>6.3546700334179635E-3</v>
      </c>
      <c r="AA1137" s="55">
        <f t="shared" si="181"/>
        <v>37179.9</v>
      </c>
      <c r="AB1137" s="55">
        <f t="shared" si="182"/>
        <v>-8.0000000074505806E-2</v>
      </c>
      <c r="AC1137" s="55">
        <f t="shared" si="186"/>
        <v>5850799.46</v>
      </c>
    </row>
    <row r="1138" spans="1:29">
      <c r="A1138" t="s">
        <v>317</v>
      </c>
      <c r="B1138" s="16" t="str">
        <f>INDEX(emprunts!C:C,MATCH($A1138,emprunts!A:A,0))</f>
        <v>Dexia CL</v>
      </c>
      <c r="C1138" s="18">
        <f>INDEX(emprunts!M:M,MATCH($A1138,emprunts!$A:$A,0))</f>
        <v>40634</v>
      </c>
      <c r="D1138" s="18">
        <f>IF(INDEX(emprunts!O:O,MATCH($A1138,emprunts!$A:$A,0))="",INDEX(emprunts!N:N,MATCH($A1138,emprunts!$A:$A,0)),MIN(INDEX(emprunts!N:N,MATCH($A1138,emprunts!$A:$A,0)),INDEX(emprunts!O:O,MATCH($A1138,emprunts!$A:$A,0))))</f>
        <v>41760</v>
      </c>
      <c r="E1138" s="52">
        <f>INDEX(emprunts!I:I,MATCH($A1138,emprunts!$A:$A,0))</f>
        <v>25</v>
      </c>
      <c r="F1138" s="18" t="str">
        <f>INDEX(emprunts!P:P,MATCH($A1138,emprunts!$A:$A,0))</f>
        <v>Barrière avec multiplicateur</v>
      </c>
      <c r="G1138" s="126" t="str">
        <f>IF(LEFT(A1138,3)="vx_","vx",INDEX(Categorie,MATCH($A1138,emprunts!$A$2:$A$149,0)))</f>
        <v>Struct</v>
      </c>
      <c r="H1138">
        <v>2016</v>
      </c>
      <c r="I1138">
        <f t="shared" si="184"/>
        <v>1</v>
      </c>
      <c r="N1138"/>
      <c r="O1138" s="58"/>
      <c r="P1138" s="75"/>
      <c r="Q1138" s="58"/>
      <c r="R1138" s="58"/>
      <c r="S1138" s="58"/>
      <c r="T1138" s="58"/>
      <c r="U1138" s="58"/>
      <c r="V1138" s="14" t="str">
        <f t="shared" si="180"/>
        <v/>
      </c>
      <c r="W1138" s="77"/>
      <c r="X1138" s="85">
        <f t="shared" si="185"/>
        <v>0</v>
      </c>
      <c r="Y1138" s="21" t="str">
        <f t="shared" si="183"/>
        <v/>
      </c>
      <c r="AA1138" s="55">
        <f t="shared" si="181"/>
        <v>0</v>
      </c>
      <c r="AB1138" s="55">
        <f t="shared" si="182"/>
        <v>0</v>
      </c>
      <c r="AC1138" s="55">
        <f t="shared" si="186"/>
        <v>0</v>
      </c>
    </row>
    <row r="1139" spans="1:29">
      <c r="A1139" s="1" t="s">
        <v>489</v>
      </c>
      <c r="B1139" s="16" t="str">
        <f>INDEX(emprunts!C:C,MATCH($A1139,emprunts!A:A,0))</f>
        <v>Dexia CL</v>
      </c>
      <c r="C1139" s="18">
        <f>INDEX(emprunts!M:M,MATCH($A1139,emprunts!$A:$A,0))</f>
        <v>40725</v>
      </c>
      <c r="D1139" s="18">
        <f>IF(INDEX(emprunts!O:O,MATCH($A1139,emprunts!$A:$A,0))="",INDEX(emprunts!N:N,MATCH($A1139,emprunts!$A:$A,0)),MIN(INDEX(emprunts!N:N,MATCH($A1139,emprunts!$A:$A,0)),INDEX(emprunts!O:O,MATCH($A1139,emprunts!$A:$A,0))))</f>
        <v>49796</v>
      </c>
      <c r="E1139" s="52">
        <f>INDEX(emprunts!I:I,MATCH($A1139,emprunts!$A:$A,0))</f>
        <v>25</v>
      </c>
      <c r="F1139" s="18" t="str">
        <f>INDEX(emprunts!P:P,MATCH($A1139,emprunts!$A:$A,0))</f>
        <v>Barrière avec multiplicateur</v>
      </c>
      <c r="G1139" s="126" t="str">
        <f>IF(LEFT(A1139,3)="vx_","vx",INDEX(Categorie,MATCH($A1139,emprunts!$A$2:$A$149,0)))</f>
        <v>Struct</v>
      </c>
      <c r="H1139">
        <v>2016</v>
      </c>
      <c r="I1139">
        <f t="shared" si="184"/>
        <v>1</v>
      </c>
      <c r="N1139"/>
      <c r="O1139" s="58">
        <v>12863982</v>
      </c>
      <c r="P1139" s="75">
        <v>4.0500000000000001E-2</v>
      </c>
      <c r="Q1139" s="58">
        <v>536857.36</v>
      </c>
      <c r="R1139" s="58">
        <v>370514.4</v>
      </c>
      <c r="S1139" s="58"/>
      <c r="T1139" s="58">
        <v>347884.97</v>
      </c>
      <c r="U1139" s="58">
        <f>SUM(Q1139:S1139)</f>
        <v>907371.76</v>
      </c>
      <c r="V1139" s="14">
        <f t="shared" si="180"/>
        <v>0</v>
      </c>
      <c r="W1139" s="77"/>
      <c r="X1139" s="85">
        <f t="shared" si="185"/>
        <v>0</v>
      </c>
      <c r="Y1139" s="21">
        <f t="shared" si="183"/>
        <v>4.037303722656873E-2</v>
      </c>
      <c r="AA1139" s="55">
        <f t="shared" si="181"/>
        <v>526837.41999999993</v>
      </c>
      <c r="AB1139" s="55">
        <f t="shared" si="182"/>
        <v>-0.59999999962747097</v>
      </c>
      <c r="AC1139" s="55">
        <f t="shared" si="186"/>
        <v>13049239.199999999</v>
      </c>
    </row>
    <row r="1140" spans="1:29">
      <c r="A1140" s="1" t="s">
        <v>487</v>
      </c>
      <c r="B1140" s="16" t="str">
        <f>INDEX(emprunts!C:C,MATCH($A1140,emprunts!A:A,0))</f>
        <v>Dexia CL</v>
      </c>
      <c r="C1140" s="18">
        <f>INDEX(emprunts!M:M,MATCH($A1140,emprunts!$A:$A,0))</f>
        <v>40737</v>
      </c>
      <c r="D1140" s="18">
        <f>IF(INDEX(emprunts!O:O,MATCH($A1140,emprunts!$A:$A,0))="",INDEX(emprunts!N:N,MATCH($A1140,emprunts!$A:$A,0)),MIN(INDEX(emprunts!N:N,MATCH($A1140,emprunts!$A:$A,0)),INDEX(emprunts!O:O,MATCH($A1140,emprunts!$A:$A,0))))</f>
        <v>42644</v>
      </c>
      <c r="E1140" s="52">
        <f>INDEX(emprunts!I:I,MATCH($A1140,emprunts!$A:$A,0))</f>
        <v>15</v>
      </c>
      <c r="F1140" s="18" t="str">
        <f>INDEX(emprunts!P:P,MATCH($A1140,emprunts!$A:$A,0))</f>
        <v>Change</v>
      </c>
      <c r="G1140" s="126" t="str">
        <f>IF(LEFT(A1140,3)="vx_","vx",INDEX(Categorie,MATCH($A1140,emprunts!$A$2:$A$149,0)))</f>
        <v>Struct</v>
      </c>
      <c r="H1140">
        <v>2016</v>
      </c>
      <c r="I1140">
        <f t="shared" ref="I1140:I1199" si="187">1*(C1140&lt;DATE(H1140,12,31))</f>
        <v>1</v>
      </c>
      <c r="N1140" s="58"/>
      <c r="O1140" s="58">
        <v>0</v>
      </c>
      <c r="P1140" s="75">
        <v>3.9899999999999998E-2</v>
      </c>
      <c r="Q1140" s="58">
        <v>556132.42000000004</v>
      </c>
      <c r="R1140" s="58">
        <v>792150.25</v>
      </c>
      <c r="S1140" s="58"/>
      <c r="T1140" s="58">
        <v>0</v>
      </c>
      <c r="U1140" s="58">
        <f>SUM(Q1140:S1140)</f>
        <v>1348282.67</v>
      </c>
      <c r="V1140" s="14">
        <f t="shared" si="180"/>
        <v>0</v>
      </c>
      <c r="W1140" s="77"/>
      <c r="X1140" s="85">
        <f t="shared" ref="X1140:X1199" si="188">SUMPRODUCT((De=$A1140)*(année_refi=$H1140),Montant_transfere)</f>
        <v>10462000</v>
      </c>
      <c r="Y1140" s="21">
        <f t="shared" si="183"/>
        <v>4.0576080057969324E-2</v>
      </c>
      <c r="AA1140" s="55">
        <f t="shared" si="181"/>
        <v>330735.36000000004</v>
      </c>
      <c r="AB1140" s="55">
        <f t="shared" si="182"/>
        <v>240.25</v>
      </c>
      <c r="AC1140" s="55">
        <f t="shared" si="186"/>
        <v>8150993.38150685</v>
      </c>
    </row>
    <row r="1141" spans="1:29">
      <c r="A1141" t="s">
        <v>324</v>
      </c>
      <c r="B1141" s="16" t="str">
        <f>INDEX(emprunts!C:C,MATCH($A1141,emprunts!A:A,0))</f>
        <v>Caisse d'Épargne</v>
      </c>
      <c r="C1141" s="18">
        <f>INDEX(emprunts!M:M,MATCH($A1141,emprunts!$A:$A,0))</f>
        <v>40732</v>
      </c>
      <c r="D1141" s="18">
        <f>IF(INDEX(emprunts!O:O,MATCH($A1141,emprunts!$A:$A,0))="",INDEX(emprunts!N:N,MATCH($A1141,emprunts!$A:$A,0)),MIN(INDEX(emprunts!N:N,MATCH($A1141,emprunts!$A:$A,0)),INDEX(emprunts!O:O,MATCH($A1141,emprunts!$A:$A,0))))</f>
        <v>46536</v>
      </c>
      <c r="E1141" s="52">
        <f>INDEX(emprunts!I:I,MATCH($A1141,emprunts!$A:$A,0))</f>
        <v>15</v>
      </c>
      <c r="F1141" s="18" t="str">
        <f>INDEX(emprunts!P:P,MATCH($A1141,emprunts!$A:$A,0))</f>
        <v>Variable</v>
      </c>
      <c r="G1141" s="126" t="str">
        <f>IF(LEFT(A1141,3)="vx_","vx",INDEX(Categorie,MATCH($A1141,emprunts!$A$2:$A$149,0)))</f>
        <v>Non_st</v>
      </c>
      <c r="H1141">
        <v>2016</v>
      </c>
      <c r="I1141">
        <f t="shared" si="187"/>
        <v>1</v>
      </c>
      <c r="N1141"/>
      <c r="O1141" s="58">
        <v>3868399</v>
      </c>
      <c r="P1141" s="75">
        <v>9.7999999999999997E-3</v>
      </c>
      <c r="Q1141" s="58">
        <v>40247.24</v>
      </c>
      <c r="R1141" s="58">
        <v>273770.18</v>
      </c>
      <c r="S1141" s="58"/>
      <c r="T1141" s="58">
        <v>3179.27</v>
      </c>
      <c r="U1141" s="58">
        <f>SUM(Q1141:S1141)</f>
        <v>314017.42</v>
      </c>
      <c r="V1141" s="14">
        <f t="shared" si="180"/>
        <v>0</v>
      </c>
      <c r="W1141" s="77"/>
      <c r="X1141" s="85">
        <f t="shared" si="188"/>
        <v>0</v>
      </c>
      <c r="Y1141" s="21">
        <f t="shared" si="183"/>
        <v>9.8386454280200621E-3</v>
      </c>
      <c r="AA1141" s="55">
        <f t="shared" si="181"/>
        <v>39406.569999999992</v>
      </c>
      <c r="AB1141" s="55">
        <f t="shared" si="182"/>
        <v>-0.81999999983236194</v>
      </c>
      <c r="AC1141" s="55">
        <f t="shared" si="186"/>
        <v>4005284.09</v>
      </c>
    </row>
    <row r="1142" spans="1:29">
      <c r="A1142" t="s">
        <v>328</v>
      </c>
      <c r="B1142" s="16" t="str">
        <f>INDEX(emprunts!C:C,MATCH($A1142,emprunts!A:A,0))</f>
        <v>Caisse d'Épargne</v>
      </c>
      <c r="C1142" s="18">
        <f>INDEX(emprunts!M:M,MATCH($A1142,emprunts!$A:$A,0))</f>
        <v>40732</v>
      </c>
      <c r="D1142" s="18">
        <f>IF(INDEX(emprunts!O:O,MATCH($A1142,emprunts!$A:$A,0))="",INDEX(emprunts!N:N,MATCH($A1142,emprunts!$A:$A,0)),MIN(INDEX(emprunts!N:N,MATCH($A1142,emprunts!$A:$A,0)),INDEX(emprunts!O:O,MATCH($A1142,emprunts!$A:$A,0))))</f>
        <v>46536</v>
      </c>
      <c r="E1142" s="52">
        <f>INDEX(emprunts!I:I,MATCH($A1142,emprunts!$A:$A,0))</f>
        <v>15</v>
      </c>
      <c r="F1142" s="18" t="str">
        <f>INDEX(emprunts!P:P,MATCH($A1142,emprunts!$A:$A,0))</f>
        <v>Variable</v>
      </c>
      <c r="G1142" s="126" t="str">
        <f>IF(LEFT(A1142,3)="vx_","vx",INDEX(Categorie,MATCH($A1142,emprunts!$A$2:$A$149,0)))</f>
        <v>Non_st</v>
      </c>
      <c r="H1142">
        <v>2016</v>
      </c>
      <c r="I1142">
        <f t="shared" si="187"/>
        <v>1</v>
      </c>
      <c r="N1142"/>
      <c r="O1142" s="58">
        <v>3868399</v>
      </c>
      <c r="P1142" s="75">
        <v>6.7999999999999996E-3</v>
      </c>
      <c r="Q1142" s="58">
        <v>28126.1</v>
      </c>
      <c r="R1142" s="58">
        <v>273770.18</v>
      </c>
      <c r="S1142" s="58"/>
      <c r="T1142" s="58">
        <v>2164.61</v>
      </c>
      <c r="U1142" s="58">
        <f>SUM(Q1142:S1142)</f>
        <v>301896.27999999997</v>
      </c>
      <c r="V1142" s="14">
        <f t="shared" ref="V1142:V1203" si="189">IF(U1142="","",U1142-SUM(Q1142:S1142))</f>
        <v>0</v>
      </c>
      <c r="W1142" s="77"/>
      <c r="X1142" s="85">
        <f t="shared" si="188"/>
        <v>0</v>
      </c>
      <c r="Y1142" s="21">
        <f t="shared" si="183"/>
        <v>6.8302870371424766E-3</v>
      </c>
      <c r="AA1142" s="55">
        <f t="shared" si="181"/>
        <v>27357.239999999998</v>
      </c>
      <c r="AB1142" s="55">
        <f t="shared" si="182"/>
        <v>-0.81999999983236194</v>
      </c>
      <c r="AC1142" s="55">
        <f t="shared" si="186"/>
        <v>4005284.09</v>
      </c>
    </row>
    <row r="1143" spans="1:29">
      <c r="A1143" t="s">
        <v>331</v>
      </c>
      <c r="B1143" s="16" t="str">
        <f>INDEX(emprunts!C:C,MATCH($A1143,emprunts!A:A,0))</f>
        <v>Dexia CL</v>
      </c>
      <c r="C1143" s="18">
        <f>INDEX(emprunts!M:M,MATCH($A1143,emprunts!$A:$A,0))</f>
        <v>40848</v>
      </c>
      <c r="D1143" s="18">
        <f>IF(INDEX(emprunts!O:O,MATCH($A1143,emprunts!$A:$A,0))="",INDEX(emprunts!N:N,MATCH($A1143,emprunts!$A:$A,0)),MIN(INDEX(emprunts!N:N,MATCH($A1143,emprunts!$A:$A,0)),INDEX(emprunts!O:O,MATCH($A1143,emprunts!$A:$A,0))))</f>
        <v>43101</v>
      </c>
      <c r="E1143" s="52">
        <f>INDEX(emprunts!I:I,MATCH($A1143,emprunts!$A:$A,0))</f>
        <v>21.17</v>
      </c>
      <c r="F1143" s="18" t="str">
        <f>INDEX(emprunts!P:P,MATCH($A1143,emprunts!$A:$A,0))</f>
        <v>Barrière avec multiplicateur</v>
      </c>
      <c r="G1143" s="126" t="str">
        <f>IF(LEFT(A1143,3)="vx_","vx",INDEX(Categorie,MATCH($A1143,emprunts!$A$2:$A$149,0)))</f>
        <v>Struct</v>
      </c>
      <c r="H1143">
        <v>2016</v>
      </c>
      <c r="I1143">
        <f t="shared" si="187"/>
        <v>1</v>
      </c>
      <c r="N1143"/>
      <c r="O1143" s="58">
        <v>7713685</v>
      </c>
      <c r="P1143" s="75">
        <v>3.5499999999999997E-2</v>
      </c>
      <c r="Q1143" s="58">
        <v>287771.03999999998</v>
      </c>
      <c r="R1143" s="58">
        <v>395714.28</v>
      </c>
      <c r="S1143" s="58"/>
      <c r="T1143" s="58">
        <v>273728.68</v>
      </c>
      <c r="U1143" s="58">
        <f>SUM(Q1143:S1143)</f>
        <v>683485.32000000007</v>
      </c>
      <c r="V1143" s="14">
        <f t="shared" si="189"/>
        <v>0</v>
      </c>
      <c r="W1143" s="77"/>
      <c r="X1143" s="85">
        <f t="shared" si="188"/>
        <v>0</v>
      </c>
      <c r="Y1143" s="21">
        <f t="shared" ref="Y1143:Y1202" si="190">IF(AND(AA1143&gt;0,YEAR(C1143)&lt;=H1143),AA1143/AC1143,"")</f>
        <v>3.4698303458698378E-2</v>
      </c>
      <c r="AA1143" s="55">
        <f t="shared" si="181"/>
        <v>274517.08999999997</v>
      </c>
      <c r="AB1143" s="55">
        <f t="shared" si="182"/>
        <v>0.28000000026077032</v>
      </c>
      <c r="AC1143" s="55">
        <f t="shared" si="186"/>
        <v>7911542.1399999997</v>
      </c>
    </row>
    <row r="1144" spans="1:29">
      <c r="A1144" t="s">
        <v>333</v>
      </c>
      <c r="B1144" s="16" t="str">
        <f>INDEX(emprunts!C:C,MATCH($A1144,emprunts!A:A,0))</f>
        <v>Dexia CL</v>
      </c>
      <c r="C1144" s="18">
        <f>INDEX(emprunts!M:M,MATCH($A1144,emprunts!$A:$A,0))</f>
        <v>40848</v>
      </c>
      <c r="D1144" s="18">
        <f>IF(INDEX(emprunts!O:O,MATCH($A1144,emprunts!$A:$A,0))="",INDEX(emprunts!N:N,MATCH($A1144,emprunts!$A:$A,0)),MIN(INDEX(emprunts!N:N,MATCH($A1144,emprunts!$A:$A,0)),INDEX(emprunts!O:O,MATCH($A1144,emprunts!$A:$A,0))))</f>
        <v>41654</v>
      </c>
      <c r="E1144" s="52">
        <f>INDEX(emprunts!I:I,MATCH($A1144,emprunts!$A:$A,0))</f>
        <v>22</v>
      </c>
      <c r="F1144" s="18" t="str">
        <f>INDEX(emprunts!P:P,MATCH($A1144,emprunts!$A:$A,0))</f>
        <v>Change</v>
      </c>
      <c r="G1144" s="126" t="str">
        <f>IF(LEFT(A1144,3)="vx_","vx",INDEX(Categorie,MATCH($A1144,emprunts!$A$2:$A$149,0)))</f>
        <v>Struct</v>
      </c>
      <c r="H1144">
        <v>2016</v>
      </c>
      <c r="I1144">
        <f t="shared" si="187"/>
        <v>1</v>
      </c>
      <c r="N1144"/>
      <c r="O1144" s="58"/>
      <c r="P1144" s="75"/>
      <c r="Q1144" s="58"/>
      <c r="R1144" s="58"/>
      <c r="S1144" s="58"/>
      <c r="T1144" s="58"/>
      <c r="U1144" s="58"/>
      <c r="V1144" s="14" t="str">
        <f t="shared" si="189"/>
        <v/>
      </c>
      <c r="W1144" s="77"/>
      <c r="X1144" s="85">
        <f t="shared" si="188"/>
        <v>0</v>
      </c>
      <c r="Y1144" s="21" t="str">
        <f t="shared" si="190"/>
        <v/>
      </c>
      <c r="AA1144" s="55">
        <f t="shared" si="181"/>
        <v>0</v>
      </c>
      <c r="AB1144" s="55">
        <f t="shared" si="182"/>
        <v>0</v>
      </c>
      <c r="AC1144" s="55">
        <f t="shared" si="186"/>
        <v>0</v>
      </c>
    </row>
    <row r="1145" spans="1:29">
      <c r="A1145" t="s">
        <v>336</v>
      </c>
      <c r="B1145" s="16" t="str">
        <f>INDEX(emprunts!C:C,MATCH($A1145,emprunts!A:A,0))</f>
        <v>Dexia CL</v>
      </c>
      <c r="C1145" s="18">
        <f>INDEX(emprunts!M:M,MATCH($A1145,emprunts!$A:$A,0))</f>
        <v>40878</v>
      </c>
      <c r="D1145" s="18">
        <f>IF(INDEX(emprunts!O:O,MATCH($A1145,emprunts!$A:$A,0))="",INDEX(emprunts!N:N,MATCH($A1145,emprunts!$A:$A,0)),MIN(INDEX(emprunts!N:N,MATCH($A1145,emprunts!$A:$A,0)),INDEX(emprunts!O:O,MATCH($A1145,emprunts!$A:$A,0))))</f>
        <v>41244</v>
      </c>
      <c r="E1145" s="52">
        <f>INDEX(emprunts!I:I,MATCH($A1145,emprunts!$A:$A,0))</f>
        <v>18</v>
      </c>
      <c r="F1145" s="18" t="str">
        <f>INDEX(emprunts!P:P,MATCH($A1145,emprunts!$A:$A,0))</f>
        <v>Change</v>
      </c>
      <c r="G1145" s="126" t="str">
        <f>IF(LEFT(A1145,3)="vx_","vx",INDEX(Categorie,MATCH($A1145,emprunts!$A$2:$A$149,0)))</f>
        <v>Struct</v>
      </c>
      <c r="H1145">
        <v>2016</v>
      </c>
      <c r="I1145">
        <f t="shared" si="187"/>
        <v>1</v>
      </c>
      <c r="N1145"/>
      <c r="O1145" s="58"/>
      <c r="P1145" s="75"/>
      <c r="Q1145" s="58"/>
      <c r="R1145" s="58"/>
      <c r="S1145" s="58"/>
      <c r="T1145" s="58"/>
      <c r="U1145" s="58"/>
      <c r="V1145" s="14" t="str">
        <f t="shared" si="189"/>
        <v/>
      </c>
      <c r="W1145" s="77"/>
      <c r="X1145" s="85">
        <f t="shared" si="188"/>
        <v>0</v>
      </c>
      <c r="Y1145" s="21" t="str">
        <f t="shared" si="190"/>
        <v/>
      </c>
      <c r="AA1145" s="55">
        <f t="shared" si="181"/>
        <v>0</v>
      </c>
      <c r="AB1145" s="55">
        <f t="shared" si="182"/>
        <v>0</v>
      </c>
      <c r="AC1145" s="55">
        <f t="shared" si="186"/>
        <v>0</v>
      </c>
    </row>
    <row r="1146" spans="1:29">
      <c r="A1146" t="s">
        <v>338</v>
      </c>
      <c r="B1146" s="16" t="str">
        <f>INDEX(emprunts!C:C,MATCH($A1146,emprunts!A:A,0))</f>
        <v>Dexia CL</v>
      </c>
      <c r="C1146" s="18">
        <f>INDEX(emprunts!M:M,MATCH($A1146,emprunts!$A:$A,0))</f>
        <v>40878</v>
      </c>
      <c r="D1146" s="18">
        <f>IF(INDEX(emprunts!O:O,MATCH($A1146,emprunts!$A:$A,0))="",INDEX(emprunts!N:N,MATCH($A1146,emprunts!$A:$A,0)),MIN(INDEX(emprunts!N:N,MATCH($A1146,emprunts!$A:$A,0)),INDEX(emprunts!O:O,MATCH($A1146,emprunts!$A:$A,0))))</f>
        <v>49644</v>
      </c>
      <c r="E1146" s="52">
        <f>INDEX(emprunts!I:I,MATCH($A1146,emprunts!$A:$A,0))</f>
        <v>24</v>
      </c>
      <c r="F1146" s="18" t="str">
        <f>INDEX(emprunts!P:P,MATCH($A1146,emprunts!$A:$A,0))</f>
        <v>Variable</v>
      </c>
      <c r="G1146" s="126" t="str">
        <f>IF(LEFT(A1146,3)="vx_","vx",INDEX(Categorie,MATCH($A1146,emprunts!$A$2:$A$149,0)))</f>
        <v>Non_st</v>
      </c>
      <c r="H1146">
        <v>2016</v>
      </c>
      <c r="I1146">
        <f t="shared" si="187"/>
        <v>1</v>
      </c>
      <c r="N1146"/>
      <c r="O1146" s="58">
        <v>3924483</v>
      </c>
      <c r="P1146" s="75">
        <v>1.9199999999999998E-2</v>
      </c>
      <c r="Q1146" s="58">
        <v>7477.3</v>
      </c>
      <c r="R1146" s="58">
        <v>184311.18</v>
      </c>
      <c r="S1146" s="58"/>
      <c r="T1146" s="58">
        <v>281.25</v>
      </c>
      <c r="U1146" s="58">
        <f>SUM(Q1146:S1146)</f>
        <v>191788.47999999998</v>
      </c>
      <c r="V1146" s="14">
        <f t="shared" si="189"/>
        <v>0</v>
      </c>
      <c r="W1146" s="77"/>
      <c r="X1146" s="85">
        <f t="shared" si="188"/>
        <v>0</v>
      </c>
      <c r="Y1146" s="21">
        <f t="shared" si="190"/>
        <v>1.6869478914208213E-3</v>
      </c>
      <c r="AA1146" s="55">
        <f t="shared" si="181"/>
        <v>6775.8600000000006</v>
      </c>
      <c r="AB1146" s="55">
        <f t="shared" si="182"/>
        <v>0.18000000016763806</v>
      </c>
      <c r="AC1146" s="55">
        <f t="shared" si="186"/>
        <v>4016638.59</v>
      </c>
    </row>
    <row r="1147" spans="1:29">
      <c r="A1147" t="s">
        <v>339</v>
      </c>
      <c r="B1147" s="16" t="str">
        <f>INDEX(emprunts!C:C,MATCH($A1147,emprunts!A:A,0))</f>
        <v>Caisse d'Épargne</v>
      </c>
      <c r="C1147" s="18">
        <f>INDEX(emprunts!M:M,MATCH($A1147,emprunts!$A:$A,0))</f>
        <v>40913</v>
      </c>
      <c r="D1147" s="18">
        <f>IF(INDEX(emprunts!O:O,MATCH($A1147,emprunts!$A:$A,0))="",INDEX(emprunts!N:N,MATCH($A1147,emprunts!$A:$A,0)),MIN(INDEX(emprunts!N:N,MATCH($A1147,emprunts!$A:$A,0)),INDEX(emprunts!O:O,MATCH($A1147,emprunts!$A:$A,0))))</f>
        <v>48218</v>
      </c>
      <c r="E1147" s="52">
        <f>INDEX(emprunts!I:I,MATCH($A1147,emprunts!$A:$A,0))</f>
        <v>20</v>
      </c>
      <c r="F1147" s="18" t="str">
        <f>INDEX(emprunts!P:P,MATCH($A1147,emprunts!$A:$A,0))</f>
        <v>Barrière</v>
      </c>
      <c r="G1147" s="126" t="str">
        <f>IF(LEFT(A1147,3)="vx_","vx",INDEX(Categorie,MATCH($A1147,emprunts!$A$2:$A$149,0)))</f>
        <v>Struct</v>
      </c>
      <c r="H1147">
        <v>2016</v>
      </c>
      <c r="I1147">
        <f t="shared" si="187"/>
        <v>1</v>
      </c>
      <c r="N1147"/>
      <c r="O1147" s="58">
        <v>5531208</v>
      </c>
      <c r="P1147" s="75">
        <v>4.9200000000000001E-2</v>
      </c>
      <c r="Q1147" s="58">
        <v>284520.65000000002</v>
      </c>
      <c r="R1147" s="58">
        <v>254835.48</v>
      </c>
      <c r="S1147" s="58"/>
      <c r="T1147" s="58">
        <v>269008.77</v>
      </c>
      <c r="U1147" s="58">
        <f>SUM(Q1147:S1147)</f>
        <v>539356.13</v>
      </c>
      <c r="V1147" s="14">
        <f t="shared" si="189"/>
        <v>0</v>
      </c>
      <c r="W1147" s="77"/>
      <c r="X1147" s="85">
        <f t="shared" si="188"/>
        <v>0</v>
      </c>
      <c r="Y1147" s="21">
        <f t="shared" si="190"/>
        <v>4.8228372495262434E-2</v>
      </c>
      <c r="AA1147" s="55">
        <f t="shared" ref="AA1147:AA1210" si="191">T1147+Q1147+S1147-SUMPRODUCT(($A$123:$A$1367=$A1147)*($H$123:$H$1367=$H1147-1),$T$123:$T$1367)</f>
        <v>272906.31000000006</v>
      </c>
      <c r="AB1147" s="55">
        <f t="shared" ref="AB1147:AB1210" si="192">IF(YEAR(C1147)=H1147,"",O1147+R1147+X1147-W1147-SUMPRODUCT(($A$123:$A$1367=$A1147)*($H$123:$H$1367=$H1147-1),$O$123:$O$1367))</f>
        <v>-0.51999999955296516</v>
      </c>
      <c r="AC1147" s="55">
        <f t="shared" si="186"/>
        <v>5658625.7400000002</v>
      </c>
    </row>
    <row r="1148" spans="1:29">
      <c r="A1148" t="s">
        <v>342</v>
      </c>
      <c r="B1148" s="16" t="str">
        <f>INDEX(emprunts!C:C,MATCH($A1148,emprunts!A:A,0))</f>
        <v>CDC</v>
      </c>
      <c r="C1148" s="18">
        <f>INDEX(emprunts!M:M,MATCH($A1148,emprunts!$A:$A,0))</f>
        <v>40991</v>
      </c>
      <c r="D1148" s="18">
        <f>IF(INDEX(emprunts!O:O,MATCH($A1148,emprunts!$A:$A,0))="",INDEX(emprunts!N:N,MATCH($A1148,emprunts!$A:$A,0)),MIN(INDEX(emprunts!N:N,MATCH($A1148,emprunts!$A:$A,0)),INDEX(emprunts!O:O,MATCH($A1148,emprunts!$A:$A,0))))</f>
        <v>46661</v>
      </c>
      <c r="E1148" s="52">
        <f>INDEX(emprunts!I:I,MATCH($A1148,emprunts!$A:$A,0))</f>
        <v>15.25</v>
      </c>
      <c r="F1148" s="18" t="str">
        <f>INDEX(emprunts!P:P,MATCH($A1148,emprunts!$A:$A,0))</f>
        <v>Variable</v>
      </c>
      <c r="G1148" s="126" t="str">
        <f>IF(LEFT(A1148,3)="vx_","vx",INDEX(Categorie,MATCH($A1148,emprunts!$A$2:$A$149,0)))</f>
        <v>Non_st</v>
      </c>
      <c r="H1148">
        <v>2016</v>
      </c>
      <c r="I1148">
        <f t="shared" si="187"/>
        <v>1</v>
      </c>
      <c r="N1148"/>
      <c r="O1148" s="58">
        <v>0</v>
      </c>
      <c r="P1148" s="75"/>
      <c r="Q1148" s="58">
        <v>24272.45</v>
      </c>
      <c r="R1148" s="58">
        <f>104166.67+4791666</f>
        <v>4895832.67</v>
      </c>
      <c r="S1148" s="58"/>
      <c r="T1148" s="58">
        <v>0</v>
      </c>
      <c r="U1148" s="58">
        <f>SUM(Q1148:S1148)</f>
        <v>4920105.12</v>
      </c>
      <c r="V1148" s="14">
        <f t="shared" si="189"/>
        <v>0</v>
      </c>
      <c r="W1148" s="77"/>
      <c r="X1148" s="85">
        <f t="shared" si="188"/>
        <v>0</v>
      </c>
      <c r="Y1148" s="21">
        <f t="shared" si="190"/>
        <v>1.077773763048163E-4</v>
      </c>
      <c r="Z1148" t="s">
        <v>690</v>
      </c>
      <c r="AA1148" s="55">
        <f t="shared" si="191"/>
        <v>263.83000000000175</v>
      </c>
      <c r="AB1148" s="55">
        <f t="shared" si="192"/>
        <v>-0.33000000007450581</v>
      </c>
      <c r="AC1148" s="55">
        <f t="shared" si="186"/>
        <v>2447916.335</v>
      </c>
    </row>
    <row r="1149" spans="1:29">
      <c r="A1149" s="1" t="s">
        <v>531</v>
      </c>
      <c r="B1149" s="16" t="str">
        <f>INDEX(emprunts!C:C,MATCH($A1149,emprunts!A:A,0))</f>
        <v>Dexia CL</v>
      </c>
      <c r="C1149" s="18">
        <f>INDEX(emprunts!M:M,MATCH($A1149,emprunts!$A:$A,0))</f>
        <v>41030</v>
      </c>
      <c r="D1149" s="18">
        <f>IF(INDEX(emprunts!O:O,MATCH($A1149,emprunts!$A:$A,0))="",INDEX(emprunts!N:N,MATCH($A1149,emprunts!$A:$A,0)),MIN(INDEX(emprunts!N:N,MATCH($A1149,emprunts!$A:$A,0)),INDEX(emprunts!O:O,MATCH($A1149,emprunts!$A:$A,0))))</f>
        <v>48122</v>
      </c>
      <c r="E1149" s="52">
        <f>INDEX(emprunts!I:I,MATCH($A1149,emprunts!$A:$A,0))</f>
        <v>19.420000000000002</v>
      </c>
      <c r="F1149" s="18" t="str">
        <f>INDEX(emprunts!P:P,MATCH($A1149,emprunts!$A:$A,0))</f>
        <v>Barrière avec multiplicateur</v>
      </c>
      <c r="G1149" s="126" t="str">
        <f>IF(LEFT(A1149,3)="vx_","vx",INDEX(Categorie,MATCH($A1149,emprunts!$A$2:$A$149,0)))</f>
        <v>Struct</v>
      </c>
      <c r="H1149">
        <v>2016</v>
      </c>
      <c r="I1149">
        <f t="shared" si="187"/>
        <v>1</v>
      </c>
      <c r="N1149"/>
      <c r="O1149" s="58">
        <v>13180051</v>
      </c>
      <c r="P1149" s="75">
        <v>1.7000000000000001E-2</v>
      </c>
      <c r="Q1149" s="58">
        <v>235330.67</v>
      </c>
      <c r="R1149" s="58">
        <v>581708.29</v>
      </c>
      <c r="S1149" s="58"/>
      <c r="T1149" s="58">
        <v>55786.71</v>
      </c>
      <c r="U1149" s="58">
        <f>SUM(Q1149:S1149)</f>
        <v>817038.96000000008</v>
      </c>
      <c r="V1149" s="14">
        <f t="shared" si="189"/>
        <v>0</v>
      </c>
      <c r="W1149" s="77"/>
      <c r="X1149" s="85">
        <f t="shared" si="188"/>
        <v>0</v>
      </c>
      <c r="Y1149" s="21">
        <f t="shared" si="190"/>
        <v>1.6905843931692241E-2</v>
      </c>
      <c r="AA1149" s="55">
        <f t="shared" si="191"/>
        <v>227737.02000000002</v>
      </c>
      <c r="AB1149" s="55">
        <f t="shared" si="192"/>
        <v>0.28999999910593033</v>
      </c>
      <c r="AC1149" s="55">
        <f t="shared" si="186"/>
        <v>13470905.145</v>
      </c>
    </row>
    <row r="1150" spans="1:29">
      <c r="A1150" s="1" t="s">
        <v>490</v>
      </c>
      <c r="B1150" s="16" t="str">
        <f>INDEX(emprunts!C:C,MATCH($A1150,emprunts!A:A,0))</f>
        <v>Dexia CL</v>
      </c>
      <c r="C1150" s="18">
        <f>INDEX(emprunts!M:M,MATCH($A1150,emprunts!$A:$A,0))</f>
        <v>41030</v>
      </c>
      <c r="D1150" s="18">
        <f>IF(INDEX(emprunts!O:O,MATCH($A1150,emprunts!$A:$A,0))="",INDEX(emprunts!N:N,MATCH($A1150,emprunts!$A:$A,0)),MIN(INDEX(emprunts!N:N,MATCH($A1150,emprunts!$A:$A,0)),INDEX(emprunts!O:O,MATCH($A1150,emprunts!$A:$A,0))))</f>
        <v>41760</v>
      </c>
      <c r="E1150" s="52">
        <f>INDEX(emprunts!I:I,MATCH($A1150,emprunts!$A:$A,0))</f>
        <v>17</v>
      </c>
      <c r="F1150" s="18" t="str">
        <f>INDEX(emprunts!P:P,MATCH($A1150,emprunts!$A:$A,0))</f>
        <v>Change</v>
      </c>
      <c r="G1150" s="126" t="str">
        <f>IF(LEFT(A1150,3)="vx_","vx",INDEX(Categorie,MATCH($A1150,emprunts!$A$2:$A$149,0)))</f>
        <v>Struct</v>
      </c>
      <c r="H1150">
        <v>2016</v>
      </c>
      <c r="I1150">
        <f t="shared" si="187"/>
        <v>1</v>
      </c>
      <c r="N1150"/>
      <c r="O1150" s="58"/>
      <c r="P1150" s="75"/>
      <c r="Q1150" s="58"/>
      <c r="R1150" s="58"/>
      <c r="S1150" s="58"/>
      <c r="T1150" s="58"/>
      <c r="U1150" s="58"/>
      <c r="V1150" s="14" t="str">
        <f t="shared" si="189"/>
        <v/>
      </c>
      <c r="W1150" s="77"/>
      <c r="X1150" s="85">
        <f t="shared" si="188"/>
        <v>0</v>
      </c>
      <c r="Y1150" s="21" t="str">
        <f t="shared" si="190"/>
        <v/>
      </c>
      <c r="AA1150" s="55">
        <f t="shared" si="191"/>
        <v>0</v>
      </c>
      <c r="AB1150" s="55">
        <f t="shared" si="192"/>
        <v>0</v>
      </c>
      <c r="AC1150" s="55">
        <f t="shared" si="186"/>
        <v>0</v>
      </c>
    </row>
    <row r="1151" spans="1:29">
      <c r="A1151" t="s">
        <v>352</v>
      </c>
      <c r="B1151" s="16" t="str">
        <f>INDEX(emprunts!C:C,MATCH($A1151,emprunts!A:A,0))</f>
        <v>Caisse d'Épargne</v>
      </c>
      <c r="C1151" s="18">
        <f>INDEX(emprunts!M:M,MATCH($A1151,emprunts!$A:$A,0))</f>
        <v>41167</v>
      </c>
      <c r="D1151" s="18">
        <f>IF(INDEX(emprunts!O:O,MATCH($A1151,emprunts!$A:$A,0))="",INDEX(emprunts!N:N,MATCH($A1151,emprunts!$A:$A,0)),MIN(INDEX(emprunts!N:N,MATCH($A1151,emprunts!$A:$A,0)),INDEX(emprunts!O:O,MATCH($A1151,emprunts!$A:$A,0))))</f>
        <v>48785</v>
      </c>
      <c r="E1151" s="52">
        <f>INDEX(emprunts!I:I,MATCH($A1151,emprunts!$A:$A,0))</f>
        <v>20.8</v>
      </c>
      <c r="F1151" s="18" t="str">
        <f>INDEX(emprunts!P:P,MATCH($A1151,emprunts!$A:$A,0))</f>
        <v>Fixe</v>
      </c>
      <c r="G1151" s="126" t="str">
        <f>IF(LEFT(A1151,3)="vx_","vx",INDEX(Categorie,MATCH($A1151,emprunts!$A$2:$A$149,0)))</f>
        <v>Non_st</v>
      </c>
      <c r="H1151">
        <v>2016</v>
      </c>
      <c r="I1151">
        <f t="shared" si="187"/>
        <v>1</v>
      </c>
      <c r="N1151"/>
      <c r="O1151" s="58">
        <v>17939871</v>
      </c>
      <c r="P1151" s="75">
        <v>4.5100000000000001E-2</v>
      </c>
      <c r="Q1151" s="58">
        <v>830496.9</v>
      </c>
      <c r="R1151" s="58">
        <v>669671.18999999994</v>
      </c>
      <c r="S1151" s="58"/>
      <c r="T1151" s="58">
        <v>148440.18</v>
      </c>
      <c r="U1151" s="58">
        <f t="shared" ref="U1151:U1175" si="193">SUM(Q1151:S1151)</f>
        <v>1500168.0899999999</v>
      </c>
      <c r="V1151" s="14">
        <f t="shared" si="189"/>
        <v>0</v>
      </c>
      <c r="W1151" s="77"/>
      <c r="X1151" s="85">
        <f t="shared" si="188"/>
        <v>0</v>
      </c>
      <c r="Y1151" s="21">
        <f t="shared" si="190"/>
        <v>4.5118861729117686E-2</v>
      </c>
      <c r="AA1151" s="55">
        <f t="shared" si="191"/>
        <v>824533.96000000008</v>
      </c>
      <c r="AB1151" s="55">
        <f t="shared" si="192"/>
        <v>0.19000000134110451</v>
      </c>
      <c r="AC1151" s="55">
        <f t="shared" si="186"/>
        <v>18274706.594999999</v>
      </c>
    </row>
    <row r="1152" spans="1:29">
      <c r="A1152" s="1" t="s">
        <v>493</v>
      </c>
      <c r="B1152" s="16" t="str">
        <f>INDEX(emprunts!C:C,MATCH($A1152,emprunts!A:A,0))</f>
        <v>Dexia CL</v>
      </c>
      <c r="C1152" s="18">
        <f>INDEX(emprunts!M:M,MATCH($A1152,emprunts!$A:$A,0))</f>
        <v>41244</v>
      </c>
      <c r="D1152" s="18">
        <f>IF(INDEX(emprunts!O:O,MATCH($A1152,emprunts!$A:$A,0))="",INDEX(emprunts!N:N,MATCH($A1152,emprunts!$A:$A,0)),MIN(INDEX(emprunts!N:N,MATCH($A1152,emprunts!$A:$A,0)),INDEX(emprunts!O:O,MATCH($A1152,emprunts!$A:$A,0))))</f>
        <v>42675</v>
      </c>
      <c r="E1152" s="52">
        <f>INDEX(emprunts!I:I,MATCH($A1152,emprunts!$A:$A,0))</f>
        <v>17</v>
      </c>
      <c r="F1152" s="18" t="str">
        <f>INDEX(emprunts!P:P,MATCH($A1152,emprunts!$A:$A,0))</f>
        <v>Change</v>
      </c>
      <c r="G1152" s="126" t="str">
        <f>IF(LEFT(A1152,3)="vx_","vx",INDEX(Categorie,MATCH($A1152,emprunts!$A$2:$A$149,0)))</f>
        <v>Struct</v>
      </c>
      <c r="H1152">
        <v>2016</v>
      </c>
      <c r="I1152">
        <f t="shared" si="187"/>
        <v>1</v>
      </c>
      <c r="N1152"/>
      <c r="O1152" s="58">
        <v>0</v>
      </c>
      <c r="P1152" s="75">
        <v>3.0300000000000001E-2</v>
      </c>
      <c r="Q1152" s="58">
        <v>137541.43</v>
      </c>
      <c r="R1152" s="58">
        <v>0</v>
      </c>
      <c r="S1152" s="58"/>
      <c r="T1152" s="58"/>
      <c r="U1152" s="58">
        <f t="shared" si="193"/>
        <v>137541.43</v>
      </c>
      <c r="V1152" s="14">
        <f t="shared" si="189"/>
        <v>0</v>
      </c>
      <c r="W1152" s="77"/>
      <c r="X1152" s="85">
        <f t="shared" si="188"/>
        <v>4929000</v>
      </c>
      <c r="Y1152" s="21">
        <f t="shared" si="190"/>
        <v>1.3856986353764438E-2</v>
      </c>
      <c r="Z1152" t="s">
        <v>545</v>
      </c>
      <c r="AA1152" s="55">
        <f t="shared" si="191"/>
        <v>57073.509999999995</v>
      </c>
      <c r="AB1152" s="55">
        <f t="shared" si="192"/>
        <v>377</v>
      </c>
      <c r="AC1152" s="55">
        <f t="shared" si="186"/>
        <v>4118753.4246575343</v>
      </c>
    </row>
    <row r="1153" spans="1:29" ht="30">
      <c r="A1153" s="1" t="s">
        <v>495</v>
      </c>
      <c r="B1153" s="16" t="str">
        <f>INDEX(emprunts!C:C,MATCH($A1153,emprunts!A:A,0))</f>
        <v>Dexia CL</v>
      </c>
      <c r="C1153" s="18">
        <f>INDEX(emprunts!M:M,MATCH($A1153,emprunts!$A:$A,0))</f>
        <v>41244</v>
      </c>
      <c r="D1153" s="18">
        <f>IF(INDEX(emprunts!O:O,MATCH($A1153,emprunts!$A:$A,0))="",INDEX(emprunts!N:N,MATCH($A1153,emprunts!$A:$A,0)),MIN(INDEX(emprunts!N:N,MATCH($A1153,emprunts!$A:$A,0)),INDEX(emprunts!O:O,MATCH($A1153,emprunts!$A:$A,0))))</f>
        <v>48914</v>
      </c>
      <c r="E1153" s="52">
        <f>INDEX(emprunts!I:I,MATCH($A1153,emprunts!$A:$A,0))</f>
        <v>21</v>
      </c>
      <c r="F1153" s="18" t="str">
        <f>INDEX(emprunts!P:P,MATCH($A1153,emprunts!$A:$A,0))</f>
        <v>Fixe</v>
      </c>
      <c r="G1153" s="126" t="str">
        <f>IF(LEFT(A1153,3)="vx_","vx",INDEX(Categorie,MATCH($A1153,emprunts!$A$2:$A$149,0)))</f>
        <v>Restr_sec</v>
      </c>
      <c r="H1153">
        <v>2016</v>
      </c>
      <c r="I1153">
        <f t="shared" si="187"/>
        <v>1</v>
      </c>
      <c r="N1153"/>
      <c r="O1153" s="58">
        <v>5622584</v>
      </c>
      <c r="P1153" s="75">
        <v>5.2200000000000003E-2</v>
      </c>
      <c r="Q1153" s="58">
        <v>329595.76</v>
      </c>
      <c r="R1153" s="58">
        <v>672417.13</v>
      </c>
      <c r="S1153" s="58"/>
      <c r="T1153" s="58">
        <v>24130.26</v>
      </c>
      <c r="U1153" s="58">
        <f t="shared" si="193"/>
        <v>1002012.89</v>
      </c>
      <c r="V1153" s="14">
        <f t="shared" si="189"/>
        <v>0</v>
      </c>
      <c r="W1153" s="77"/>
      <c r="X1153" s="85">
        <f t="shared" si="188"/>
        <v>0</v>
      </c>
      <c r="Y1153" s="21">
        <f t="shared" si="190"/>
        <v>5.4828216695944003E-2</v>
      </c>
      <c r="AA1153" s="55">
        <f t="shared" si="191"/>
        <v>326709.97000000003</v>
      </c>
      <c r="AB1153" s="55">
        <f t="shared" si="192"/>
        <v>0.12999999988824129</v>
      </c>
      <c r="AC1153" s="55">
        <f t="shared" si="186"/>
        <v>5958792.5650000004</v>
      </c>
    </row>
    <row r="1154" spans="1:29" ht="30">
      <c r="A1154" s="1" t="s">
        <v>506</v>
      </c>
      <c r="B1154" s="16" t="str">
        <f>INDEX(emprunts!C:C,MATCH($A1154,emprunts!A:A,0))</f>
        <v>Caisse d'Épargne</v>
      </c>
      <c r="C1154" s="18">
        <f>INDEX(emprunts!M:M,MATCH($A1154,emprunts!$A:$A,0))</f>
        <v>41330</v>
      </c>
      <c r="D1154" s="18">
        <f>IF(INDEX(emprunts!O:O,MATCH($A1154,emprunts!$A:$A,0))="",INDEX(emprunts!N:N,MATCH($A1154,emprunts!$A:$A,0)),MIN(INDEX(emprunts!N:N,MATCH($A1154,emprunts!$A:$A,0)),INDEX(emprunts!O:O,MATCH($A1154,emprunts!$A:$A,0))))</f>
        <v>48635</v>
      </c>
      <c r="E1154" s="52">
        <f>INDEX(emprunts!I:I,MATCH($A1154,emprunts!$A:$A,0))</f>
        <v>20</v>
      </c>
      <c r="F1154" s="18" t="str">
        <f>INDEX(emprunts!P:P,MATCH($A1154,emprunts!$A:$A,0))</f>
        <v>Fixe</v>
      </c>
      <c r="G1154" s="126" t="str">
        <f>IF(LEFT(A1154,3)="vx_","vx",INDEX(Categorie,MATCH($A1154,emprunts!$A$2:$A$149,0)))</f>
        <v>Restr_sec</v>
      </c>
      <c r="H1154">
        <v>2016</v>
      </c>
      <c r="I1154">
        <f t="shared" si="187"/>
        <v>1</v>
      </c>
      <c r="N1154"/>
      <c r="O1154" s="58">
        <v>3564110</v>
      </c>
      <c r="P1154" s="75">
        <v>4.4900000000000002E-2</v>
      </c>
      <c r="Q1154" s="58">
        <v>164431.48000000001</v>
      </c>
      <c r="R1154" s="58">
        <v>139084.59</v>
      </c>
      <c r="S1154" s="58"/>
      <c r="T1154" s="58">
        <v>15775.57</v>
      </c>
      <c r="U1154" s="58">
        <f t="shared" si="193"/>
        <v>303516.07</v>
      </c>
      <c r="V1154" s="14">
        <f t="shared" si="189"/>
        <v>0</v>
      </c>
      <c r="W1154" s="77"/>
      <c r="X1154" s="85">
        <f t="shared" si="188"/>
        <v>0</v>
      </c>
      <c r="Y1154" s="21">
        <f t="shared" si="190"/>
        <v>4.50706167525586E-2</v>
      </c>
      <c r="AA1154" s="55">
        <f t="shared" si="191"/>
        <v>163770.95000000001</v>
      </c>
      <c r="AB1154" s="55">
        <f t="shared" si="192"/>
        <v>-0.41000000014901161</v>
      </c>
      <c r="AC1154" s="55">
        <f t="shared" si="186"/>
        <v>3633652.2949999999</v>
      </c>
    </row>
    <row r="1155" spans="1:29" ht="30">
      <c r="A1155" s="1" t="s">
        <v>498</v>
      </c>
      <c r="B1155" s="16" t="str">
        <f>INDEX(emprunts!C:C,MATCH($A1155,emprunts!A:A,0))</f>
        <v>Dexia CL</v>
      </c>
      <c r="C1155" s="18">
        <f>INDEX(emprunts!M:M,MATCH($A1155,emprunts!$A:$A,0))</f>
        <v>41426</v>
      </c>
      <c r="D1155" s="18">
        <f>IF(INDEX(emprunts!O:O,MATCH($A1155,emprunts!$A:$A,0))="",INDEX(emprunts!N:N,MATCH($A1155,emprunts!$A:$A,0)),MIN(INDEX(emprunts!N:N,MATCH($A1155,emprunts!$A:$A,0)),INDEX(emprunts!O:O,MATCH($A1155,emprunts!$A:$A,0))))</f>
        <v>48731</v>
      </c>
      <c r="E1155" s="52">
        <f>INDEX(emprunts!I:I,MATCH($A1155,emprunts!$A:$A,0))</f>
        <v>20</v>
      </c>
      <c r="F1155" s="18" t="str">
        <f>INDEX(emprunts!P:P,MATCH($A1155,emprunts!$A:$A,0))</f>
        <v>Fixe</v>
      </c>
      <c r="G1155" s="126" t="str">
        <f>IF(LEFT(A1155,3)="vx_","vx",INDEX(Categorie,MATCH($A1155,emprunts!$A$2:$A$149,0)))</f>
        <v>Restr_sec</v>
      </c>
      <c r="H1155">
        <v>2016</v>
      </c>
      <c r="I1155">
        <f t="shared" si="187"/>
        <v>1</v>
      </c>
      <c r="N1155"/>
      <c r="O1155" s="58">
        <v>14915744</v>
      </c>
      <c r="P1155" s="75">
        <v>5.0500000000000003E-2</v>
      </c>
      <c r="Q1155" s="58">
        <v>786990.97</v>
      </c>
      <c r="R1155" s="58">
        <v>628221.66</v>
      </c>
      <c r="S1155" s="58"/>
      <c r="T1155" s="58">
        <v>439492.39</v>
      </c>
      <c r="U1155" s="58">
        <f t="shared" si="193"/>
        <v>1415212.63</v>
      </c>
      <c r="V1155" s="14">
        <f t="shared" si="189"/>
        <v>0</v>
      </c>
      <c r="W1155" s="77"/>
      <c r="X1155" s="85">
        <f t="shared" si="188"/>
        <v>0</v>
      </c>
      <c r="Y1155" s="21">
        <f t="shared" si="190"/>
        <v>5.0458814517800619E-2</v>
      </c>
      <c r="AA1155" s="55">
        <f t="shared" si="191"/>
        <v>768480.41999999993</v>
      </c>
      <c r="AB1155" s="55">
        <f t="shared" si="192"/>
        <v>0.66000000014901161</v>
      </c>
      <c r="AC1155" s="55">
        <f t="shared" si="186"/>
        <v>15229854.83</v>
      </c>
    </row>
    <row r="1156" spans="1:29">
      <c r="A1156" t="s">
        <v>357</v>
      </c>
      <c r="B1156" s="16" t="str">
        <f>INDEX(emprunts!C:C,MATCH($A1156,emprunts!A:A,0))</f>
        <v>Caisse d'Épargne</v>
      </c>
      <c r="C1156" s="18">
        <f>INDEX(emprunts!M:M,MATCH($A1156,emprunts!$A:$A,0))</f>
        <v>41639</v>
      </c>
      <c r="D1156" s="18">
        <f>IF(INDEX(emprunts!O:O,MATCH($A1156,emprunts!$A:$A,0))="",INDEX(emprunts!N:N,MATCH($A1156,emprunts!$A:$A,0)),MIN(INDEX(emprunts!N:N,MATCH($A1156,emprunts!$A:$A,0)),INDEX(emprunts!O:O,MATCH($A1156,emprunts!$A:$A,0))))</f>
        <v>48944</v>
      </c>
      <c r="E1156" s="52">
        <f>INDEX(emprunts!I:I,MATCH($A1156,emprunts!$A:$A,0))</f>
        <v>20</v>
      </c>
      <c r="F1156" s="18" t="str">
        <f>INDEX(emprunts!P:P,MATCH($A1156,emprunts!$A:$A,0))</f>
        <v>Fixe</v>
      </c>
      <c r="G1156" s="126" t="str">
        <f>IF(LEFT(A1156,3)="vx_","vx",INDEX(Categorie,MATCH($A1156,emprunts!$A$2:$A$149,0)))</f>
        <v>Non_st</v>
      </c>
      <c r="H1156">
        <v>2016</v>
      </c>
      <c r="I1156">
        <f t="shared" si="187"/>
        <v>1</v>
      </c>
      <c r="N1156"/>
      <c r="O1156" s="58">
        <v>8500000</v>
      </c>
      <c r="P1156" s="75">
        <v>4.41E-2</v>
      </c>
      <c r="Q1156" s="58">
        <v>398025</v>
      </c>
      <c r="R1156" s="58">
        <v>500000</v>
      </c>
      <c r="S1156" s="58"/>
      <c r="T1156" s="58">
        <v>0</v>
      </c>
      <c r="U1156" s="58">
        <f t="shared" si="193"/>
        <v>898025</v>
      </c>
      <c r="V1156" s="14">
        <f t="shared" si="189"/>
        <v>0</v>
      </c>
      <c r="W1156" s="77"/>
      <c r="X1156" s="85">
        <f t="shared" si="188"/>
        <v>0</v>
      </c>
      <c r="Y1156" s="21">
        <f t="shared" si="190"/>
        <v>4.5488571428571427E-2</v>
      </c>
      <c r="AA1156" s="55">
        <f t="shared" si="191"/>
        <v>398025</v>
      </c>
      <c r="AB1156" s="55">
        <f t="shared" si="192"/>
        <v>0</v>
      </c>
      <c r="AC1156" s="55">
        <f t="shared" si="186"/>
        <v>8750000</v>
      </c>
    </row>
    <row r="1157" spans="1:29" ht="30">
      <c r="A1157" t="s">
        <v>358</v>
      </c>
      <c r="B1157" s="16" t="str">
        <f>INDEX(emprunts!C:C,MATCH($A1157,emprunts!A:A,0))</f>
        <v>Société Générale</v>
      </c>
      <c r="C1157" s="18">
        <f>INDEX(emprunts!M:M,MATCH($A1157,emprunts!$A:$A,0))</f>
        <v>41640</v>
      </c>
      <c r="D1157" s="18">
        <f>IF(INDEX(emprunts!O:O,MATCH($A1157,emprunts!$A:$A,0))="",INDEX(emprunts!N:N,MATCH($A1157,emprunts!$A:$A,0)),MIN(INDEX(emprunts!N:N,MATCH($A1157,emprunts!$A:$A,0)),INDEX(emprunts!O:O,MATCH($A1157,emprunts!$A:$A,0))))</f>
        <v>49310</v>
      </c>
      <c r="E1157" s="52">
        <f>INDEX(emprunts!I:I,MATCH($A1157,emprunts!$A:$A,0))</f>
        <v>21</v>
      </c>
      <c r="F1157" s="18" t="str">
        <f>INDEX(emprunts!P:P,MATCH($A1157,emprunts!$A:$A,0))</f>
        <v>Fixe</v>
      </c>
      <c r="G1157" s="126" t="str">
        <f>IF(LEFT(A1157,3)="vx_","vx",INDEX(Categorie,MATCH($A1157,emprunts!$A$2:$A$149,0)))</f>
        <v>Restr_sec</v>
      </c>
      <c r="H1157">
        <v>2016</v>
      </c>
      <c r="I1157">
        <f t="shared" si="187"/>
        <v>1</v>
      </c>
      <c r="N1157"/>
      <c r="O1157" s="58">
        <v>3837971</v>
      </c>
      <c r="P1157" s="75">
        <v>4.87E-2</v>
      </c>
      <c r="Q1157" s="58">
        <v>187787.77</v>
      </c>
      <c r="R1157" s="58">
        <v>119689.92</v>
      </c>
      <c r="S1157" s="58"/>
      <c r="T1157" s="58">
        <v>15351.89</v>
      </c>
      <c r="U1157" s="58">
        <f t="shared" si="193"/>
        <v>307477.69</v>
      </c>
      <c r="V1157" s="14">
        <f t="shared" si="189"/>
        <v>0</v>
      </c>
      <c r="W1157" s="77"/>
      <c r="X1157" s="85">
        <f t="shared" si="188"/>
        <v>0</v>
      </c>
      <c r="Y1157" s="21">
        <f t="shared" si="190"/>
        <v>4.8054865063459788E-2</v>
      </c>
      <c r="AA1157" s="55">
        <f t="shared" si="191"/>
        <v>187309.01999999996</v>
      </c>
      <c r="AB1157" s="55">
        <f t="shared" si="192"/>
        <v>-8.0000000074505806E-2</v>
      </c>
      <c r="AC1157" s="55">
        <f t="shared" si="186"/>
        <v>3897815.96</v>
      </c>
    </row>
    <row r="1158" spans="1:29" ht="30">
      <c r="A1158" t="s">
        <v>359</v>
      </c>
      <c r="B1158" s="16" t="str">
        <f>INDEX(emprunts!C:C,MATCH($A1158,emprunts!A:A,0))</f>
        <v>Dexia CL</v>
      </c>
      <c r="C1158" s="18">
        <f>INDEX(emprunts!M:M,MATCH($A1158,emprunts!$A:$A,0))</f>
        <v>41654</v>
      </c>
      <c r="D1158" s="18">
        <f>IF(INDEX(emprunts!O:O,MATCH($A1158,emprunts!$A:$A,0))="",INDEX(emprunts!N:N,MATCH($A1158,emprunts!$A:$A,0)),MIN(INDEX(emprunts!N:N,MATCH($A1158,emprunts!$A:$A,0)),INDEX(emprunts!O:O,MATCH($A1158,emprunts!$A:$A,0))))</f>
        <v>48884</v>
      </c>
      <c r="E1158" s="52">
        <f>INDEX(emprunts!I:I,MATCH($A1158,emprunts!$A:$A,0))</f>
        <v>19.829999999999998</v>
      </c>
      <c r="F1158" s="18" t="str">
        <f>INDEX(emprunts!P:P,MATCH($A1158,emprunts!$A:$A,0))</f>
        <v>Fixe</v>
      </c>
      <c r="G1158" s="126" t="str">
        <f>IF(LEFT(A1158,3)="vx_","vx",INDEX(Categorie,MATCH($A1158,emprunts!$A$2:$A$149,0)))</f>
        <v>Restr_sec</v>
      </c>
      <c r="H1158">
        <v>2016</v>
      </c>
      <c r="I1158">
        <f t="shared" si="187"/>
        <v>1</v>
      </c>
      <c r="N1158"/>
      <c r="O1158" s="58">
        <v>21353650</v>
      </c>
      <c r="P1158" s="75">
        <v>4.7E-2</v>
      </c>
      <c r="Q1158" s="58">
        <v>1060368.8</v>
      </c>
      <c r="R1158" s="58">
        <v>1124490.29</v>
      </c>
      <c r="S1158" s="58"/>
      <c r="T1158" s="58">
        <v>165134.89000000001</v>
      </c>
      <c r="U1158" s="58">
        <f t="shared" si="193"/>
        <v>2184859.09</v>
      </c>
      <c r="V1158" s="14">
        <f t="shared" si="189"/>
        <v>0</v>
      </c>
      <c r="W1158" s="77"/>
      <c r="X1158" s="85">
        <f t="shared" si="188"/>
        <v>0</v>
      </c>
      <c r="Y1158" s="21">
        <f t="shared" si="190"/>
        <v>4.7986757239068728E-2</v>
      </c>
      <c r="AA1158" s="55">
        <f t="shared" si="191"/>
        <v>1051672.74</v>
      </c>
      <c r="AB1158" s="55">
        <f t="shared" si="192"/>
        <v>0.28999999910593033</v>
      </c>
      <c r="AC1158" s="55">
        <f t="shared" si="186"/>
        <v>21915895.145</v>
      </c>
    </row>
    <row r="1159" spans="1:29">
      <c r="A1159" t="s">
        <v>360</v>
      </c>
      <c r="B1159" s="16" t="str">
        <f>INDEX(emprunts!C:C,MATCH($A1159,emprunts!A:A,0))</f>
        <v>Caisse d'Épargne</v>
      </c>
      <c r="C1159" s="18">
        <f>INDEX(emprunts!M:M,MATCH($A1159,emprunts!$A:$A,0))</f>
        <v>41695</v>
      </c>
      <c r="D1159" s="18">
        <f>IF(INDEX(emprunts!O:O,MATCH($A1159,emprunts!$A:$A,0))="",INDEX(emprunts!N:N,MATCH($A1159,emprunts!$A:$A,0)),MIN(INDEX(emprunts!N:N,MATCH($A1159,emprunts!$A:$A,0)),INDEX(emprunts!O:O,MATCH($A1159,emprunts!$A:$A,0))))</f>
        <v>43156</v>
      </c>
      <c r="E1159" s="52">
        <f>INDEX(emprunts!I:I,MATCH($A1159,emprunts!$A:$A,0))</f>
        <v>5</v>
      </c>
      <c r="F1159" s="18" t="str">
        <f>INDEX(emprunts!P:P,MATCH($A1159,emprunts!$A:$A,0))</f>
        <v>Courbes</v>
      </c>
      <c r="G1159" s="126" t="str">
        <f>IF(LEFT(A1159,3)="vx_","vx",INDEX(Categorie,MATCH($A1159,emprunts!$A$2:$A$149,0)))</f>
        <v>Struct</v>
      </c>
      <c r="H1159">
        <v>2016</v>
      </c>
      <c r="I1159">
        <f t="shared" si="187"/>
        <v>1</v>
      </c>
      <c r="N1159"/>
      <c r="O1159" s="58">
        <v>5979060</v>
      </c>
      <c r="P1159" s="75">
        <v>5.0700000000000002E-2</v>
      </c>
      <c r="Q1159" s="58">
        <v>334924.68</v>
      </c>
      <c r="R1159" s="58">
        <v>627673.63</v>
      </c>
      <c r="S1159" s="58"/>
      <c r="T1159" s="58">
        <v>257431.74</v>
      </c>
      <c r="U1159" s="58">
        <f t="shared" si="193"/>
        <v>962598.31</v>
      </c>
      <c r="V1159" s="14">
        <f t="shared" si="189"/>
        <v>0</v>
      </c>
      <c r="W1159" s="77"/>
      <c r="X1159" s="85">
        <f t="shared" si="188"/>
        <v>0</v>
      </c>
      <c r="Y1159" s="21">
        <f t="shared" si="190"/>
        <v>4.9073971666576566E-2</v>
      </c>
      <c r="AA1159" s="55">
        <f t="shared" si="191"/>
        <v>308817.43999999994</v>
      </c>
      <c r="AB1159" s="55">
        <f t="shared" si="192"/>
        <v>0.62999999988824129</v>
      </c>
      <c r="AC1159" s="55">
        <f t="shared" si="186"/>
        <v>6292896.8150000004</v>
      </c>
    </row>
    <row r="1160" spans="1:29" ht="30">
      <c r="A1160" t="s">
        <v>361</v>
      </c>
      <c r="B1160" s="16" t="str">
        <f>INDEX(emprunts!C:C,MATCH($A1160,emprunts!A:A,0))</f>
        <v>Caisse d'Épargne</v>
      </c>
      <c r="C1160" s="18">
        <f>INDEX(emprunts!M:M,MATCH($A1160,emprunts!$A:$A,0))</f>
        <v>41695</v>
      </c>
      <c r="D1160" s="18">
        <f>IF(INDEX(emprunts!O:O,MATCH($A1160,emprunts!$A:$A,0))="",INDEX(emprunts!N:N,MATCH($A1160,emprunts!$A:$A,0)),MIN(INDEX(emprunts!N:N,MATCH($A1160,emprunts!$A:$A,0)),INDEX(emprunts!O:O,MATCH($A1160,emprunts!$A:$A,0))))</f>
        <v>46078</v>
      </c>
      <c r="E1160" s="52">
        <f>INDEX(emprunts!I:I,MATCH($A1160,emprunts!$A:$A,0))</f>
        <v>12</v>
      </c>
      <c r="F1160" s="18" t="str">
        <f>INDEX(emprunts!P:P,MATCH($A1160,emprunts!$A:$A,0))</f>
        <v>Fixe</v>
      </c>
      <c r="G1160" s="126" t="str">
        <f>IF(LEFT(A1160,3)="vx_","vx",INDEX(Categorie,MATCH($A1160,emprunts!$A$2:$A$149,0)))</f>
        <v>Restr_sec</v>
      </c>
      <c r="H1160">
        <v>2016</v>
      </c>
      <c r="I1160">
        <f t="shared" si="187"/>
        <v>1</v>
      </c>
      <c r="N1160"/>
      <c r="O1160" s="58">
        <v>2100750</v>
      </c>
      <c r="P1160" s="75">
        <v>4.8000000000000001E-2</v>
      </c>
      <c r="Q1160" s="58">
        <v>111321.71</v>
      </c>
      <c r="R1160" s="58">
        <v>220533.98</v>
      </c>
      <c r="S1160" s="58"/>
      <c r="T1160" s="58">
        <v>85564.73</v>
      </c>
      <c r="U1160" s="58">
        <f t="shared" si="193"/>
        <v>331855.69</v>
      </c>
      <c r="V1160" s="14">
        <f t="shared" si="189"/>
        <v>0</v>
      </c>
      <c r="W1160" s="77"/>
      <c r="X1160" s="85">
        <f t="shared" si="188"/>
        <v>0</v>
      </c>
      <c r="Y1160" s="21">
        <f t="shared" si="190"/>
        <v>4.6423989713439508E-2</v>
      </c>
      <c r="AA1160" s="55">
        <f t="shared" si="191"/>
        <v>102644.23</v>
      </c>
      <c r="AB1160" s="55">
        <f t="shared" si="192"/>
        <v>-2.0000000018626451E-2</v>
      </c>
      <c r="AC1160" s="55">
        <f t="shared" si="186"/>
        <v>2211016.9900000002</v>
      </c>
    </row>
    <row r="1161" spans="1:29" ht="30">
      <c r="A1161" t="s">
        <v>362</v>
      </c>
      <c r="B1161" s="16" t="str">
        <f>INDEX(emprunts!C:C,MATCH($A1161,emprunts!A:A,0))</f>
        <v>Société Générale</v>
      </c>
      <c r="C1161" s="18">
        <f>INDEX(emprunts!M:M,MATCH($A1161,emprunts!$A:$A,0))</f>
        <v>41730</v>
      </c>
      <c r="D1161" s="18">
        <f>IF(INDEX(emprunts!O:O,MATCH($A1161,emprunts!$A:$A,0))="",INDEX(emprunts!N:N,MATCH($A1161,emprunts!$A:$A,0)),MIN(INDEX(emprunts!N:N,MATCH($A1161,emprunts!$A:$A,0)),INDEX(emprunts!O:O,MATCH($A1161,emprunts!$A:$A,0))))</f>
        <v>49400</v>
      </c>
      <c r="E1161" s="52">
        <f>INDEX(emprunts!I:I,MATCH($A1161,emprunts!$A:$A,0))</f>
        <v>21</v>
      </c>
      <c r="F1161" s="18" t="str">
        <f>INDEX(emprunts!P:P,MATCH($A1161,emprunts!$A:$A,0))</f>
        <v>Fixe</v>
      </c>
      <c r="G1161" s="126" t="str">
        <f>IF(LEFT(A1161,3)="vx_","vx",INDEX(Categorie,MATCH($A1161,emprunts!$A$2:$A$149,0)))</f>
        <v>Restr_sec</v>
      </c>
      <c r="H1161">
        <v>2016</v>
      </c>
      <c r="I1161">
        <f t="shared" si="187"/>
        <v>1</v>
      </c>
      <c r="N1161"/>
      <c r="O1161" s="58">
        <v>3199690</v>
      </c>
      <c r="P1161" s="75">
        <v>4.87E-2</v>
      </c>
      <c r="Q1161" s="58">
        <v>157768.06</v>
      </c>
      <c r="R1161" s="58">
        <v>99784.67</v>
      </c>
      <c r="S1161" s="58"/>
      <c r="T1161" s="58">
        <v>12798.76</v>
      </c>
      <c r="U1161" s="58">
        <f t="shared" si="193"/>
        <v>257552.72999999998</v>
      </c>
      <c r="V1161" s="14">
        <f t="shared" si="189"/>
        <v>0</v>
      </c>
      <c r="W1161" s="77"/>
      <c r="X1161" s="85">
        <f t="shared" si="188"/>
        <v>0</v>
      </c>
      <c r="Y1161" s="21">
        <f t="shared" si="190"/>
        <v>4.8427429674589247E-2</v>
      </c>
      <c r="AA1161" s="55">
        <f t="shared" si="191"/>
        <v>157368.92000000001</v>
      </c>
      <c r="AB1161" s="55">
        <f t="shared" si="192"/>
        <v>-0.33000000007450581</v>
      </c>
      <c r="AC1161" s="55">
        <f t="shared" si="186"/>
        <v>3249582.335</v>
      </c>
    </row>
    <row r="1162" spans="1:29">
      <c r="A1162" t="s">
        <v>363</v>
      </c>
      <c r="B1162" s="16" t="str">
        <f>INDEX(emprunts!C:C,MATCH($A1162,emprunts!A:A,0))</f>
        <v>Dexia CL</v>
      </c>
      <c r="C1162" s="18">
        <f>INDEX(emprunts!M:M,MATCH($A1162,emprunts!$A:$A,0))</f>
        <v>41760</v>
      </c>
      <c r="D1162" s="18">
        <f>IF(INDEX(emprunts!O:O,MATCH($A1162,emprunts!$A:$A,0))="",INDEX(emprunts!N:N,MATCH($A1162,emprunts!$A:$A,0)),MIN(INDEX(emprunts!N:N,MATCH($A1162,emprunts!$A:$A,0)),INDEX(emprunts!O:O,MATCH($A1162,emprunts!$A:$A,0))))</f>
        <v>47239</v>
      </c>
      <c r="E1162" s="52">
        <f>INDEX(emprunts!I:I,MATCH($A1162,emprunts!$A:$A,0))</f>
        <v>15</v>
      </c>
      <c r="F1162" s="18" t="str">
        <f>INDEX(emprunts!P:P,MATCH($A1162,emprunts!$A:$A,0))</f>
        <v>Fixe</v>
      </c>
      <c r="G1162" s="126" t="str">
        <f>IF(LEFT(A1162,3)="vx_","vx",INDEX(Categorie,MATCH($A1162,emprunts!$A$2:$A$149,0)))</f>
        <v>Non_st</v>
      </c>
      <c r="H1162">
        <v>2016</v>
      </c>
      <c r="I1162">
        <f t="shared" si="187"/>
        <v>1</v>
      </c>
      <c r="N1162"/>
      <c r="O1162" s="58">
        <v>5429990</v>
      </c>
      <c r="P1162" s="75">
        <v>4.0099999999999997E-2</v>
      </c>
      <c r="Q1162" s="58">
        <v>230365.56</v>
      </c>
      <c r="R1162" s="58">
        <v>291956.42</v>
      </c>
      <c r="S1162" s="58"/>
      <c r="T1162" s="58">
        <v>145740.93</v>
      </c>
      <c r="U1162" s="58">
        <f t="shared" si="193"/>
        <v>522321.98</v>
      </c>
      <c r="V1162" s="14">
        <f t="shared" si="189"/>
        <v>0</v>
      </c>
      <c r="W1162" s="77"/>
      <c r="X1162" s="85">
        <f t="shared" si="188"/>
        <v>0</v>
      </c>
      <c r="Y1162" s="21">
        <f t="shared" si="190"/>
        <v>3.9908665476412392E-2</v>
      </c>
      <c r="AA1162" s="55">
        <f t="shared" si="191"/>
        <v>222529.44999999998</v>
      </c>
      <c r="AB1162" s="55">
        <f t="shared" si="192"/>
        <v>0.41999999992549419</v>
      </c>
      <c r="AC1162" s="55">
        <f t="shared" si="186"/>
        <v>5575968.21</v>
      </c>
    </row>
    <row r="1163" spans="1:29" ht="30">
      <c r="A1163" t="s">
        <v>364</v>
      </c>
      <c r="B1163" s="16" t="str">
        <f>INDEX(emprunts!C:C,MATCH($A1163,emprunts!A:A,0))</f>
        <v>Dexia CL</v>
      </c>
      <c r="C1163" s="18">
        <f>INDEX(emprunts!M:M,MATCH($A1163,emprunts!$A:$A,0))</f>
        <v>41760</v>
      </c>
      <c r="D1163" s="18">
        <f>IF(INDEX(emprunts!O:O,MATCH($A1163,emprunts!$A:$A,0))="",INDEX(emprunts!N:N,MATCH($A1163,emprunts!$A:$A,0)),MIN(INDEX(emprunts!N:N,MATCH($A1163,emprunts!$A:$A,0)),INDEX(emprunts!O:O,MATCH($A1163,emprunts!$A:$A,0))))</f>
        <v>49796</v>
      </c>
      <c r="E1163" s="52">
        <f>INDEX(emprunts!I:I,MATCH($A1163,emprunts!$A:$A,0))</f>
        <v>22</v>
      </c>
      <c r="F1163" s="18" t="str">
        <f>INDEX(emprunts!P:P,MATCH($A1163,emprunts!$A:$A,0))</f>
        <v>Fixe</v>
      </c>
      <c r="G1163" s="126" t="str">
        <f>IF(LEFT(A1163,3)="vx_","vx",INDEX(Categorie,MATCH($A1163,emprunts!$A$2:$A$149,0)))</f>
        <v>Restr_aidé</v>
      </c>
      <c r="H1163">
        <v>2016</v>
      </c>
      <c r="I1163">
        <f t="shared" si="187"/>
        <v>1</v>
      </c>
      <c r="N1163"/>
      <c r="O1163" s="58">
        <v>34891154</v>
      </c>
      <c r="P1163" s="75">
        <v>4.7300000000000002E-2</v>
      </c>
      <c r="Q1163" s="58">
        <v>1721716.73</v>
      </c>
      <c r="R1163" s="58">
        <v>1372055.32</v>
      </c>
      <c r="S1163" s="58"/>
      <c r="T1163" s="58">
        <v>1104382.55</v>
      </c>
      <c r="U1163" s="58">
        <f t="shared" si="193"/>
        <v>3093772.05</v>
      </c>
      <c r="V1163" s="14">
        <f t="shared" si="189"/>
        <v>0</v>
      </c>
      <c r="W1163" s="77"/>
      <c r="X1163" s="85">
        <f t="shared" si="188"/>
        <v>0</v>
      </c>
      <c r="Y1163" s="21">
        <f t="shared" si="190"/>
        <v>4.71731613267986E-2</v>
      </c>
      <c r="AA1163" s="55">
        <f t="shared" si="191"/>
        <v>1678288.1300000004</v>
      </c>
      <c r="AB1163" s="55">
        <f t="shared" si="192"/>
        <v>0.32000000029802322</v>
      </c>
      <c r="AC1163" s="55">
        <f t="shared" si="186"/>
        <v>35577181.659999996</v>
      </c>
    </row>
    <row r="1164" spans="1:29">
      <c r="A1164" t="s">
        <v>365</v>
      </c>
      <c r="B1164" s="16" t="str">
        <f>INDEX(emprunts!C:C,MATCH($A1164,emprunts!A:A,0))</f>
        <v>Société Générale</v>
      </c>
      <c r="C1164" s="18">
        <f>INDEX(emprunts!M:M,MATCH($A1164,emprunts!$A:$A,0))</f>
        <v>41820</v>
      </c>
      <c r="D1164" s="18">
        <f>IF(INDEX(emprunts!O:O,MATCH($A1164,emprunts!$A:$A,0))="",INDEX(emprunts!N:N,MATCH($A1164,emprunts!$A:$A,0)),MIN(INDEX(emprunts!N:N,MATCH($A1164,emprunts!$A:$A,0)),INDEX(emprunts!O:O,MATCH($A1164,emprunts!$A:$A,0))))</f>
        <v>49460</v>
      </c>
      <c r="E1164" s="52">
        <f>INDEX(emprunts!I:I,MATCH($A1164,emprunts!$A:$A,0))</f>
        <v>20</v>
      </c>
      <c r="F1164" s="18" t="str">
        <f>INDEX(emprunts!P:P,MATCH($A1164,emprunts!$A:$A,0))</f>
        <v>Variable</v>
      </c>
      <c r="G1164" s="126" t="str">
        <f>IF(LEFT(A1164,3)="vx_","vx",INDEX(Categorie,MATCH($A1164,emprunts!$A$2:$A$149,0)))</f>
        <v>Non_st</v>
      </c>
      <c r="H1164">
        <v>2016</v>
      </c>
      <c r="I1164">
        <f t="shared" si="187"/>
        <v>1</v>
      </c>
      <c r="N1164"/>
      <c r="O1164" s="58">
        <v>4625000</v>
      </c>
      <c r="P1164" s="75">
        <v>1.6199999999999999E-2</v>
      </c>
      <c r="Q1164" s="58">
        <v>79574.98</v>
      </c>
      <c r="R1164" s="58">
        <v>250000</v>
      </c>
      <c r="S1164" s="58"/>
      <c r="T1164" s="58">
        <v>11693.54</v>
      </c>
      <c r="U1164" s="58">
        <f t="shared" si="193"/>
        <v>329574.98</v>
      </c>
      <c r="V1164" s="14">
        <f t="shared" si="189"/>
        <v>0</v>
      </c>
      <c r="W1164" s="77"/>
      <c r="X1164" s="85">
        <f t="shared" si="188"/>
        <v>0</v>
      </c>
      <c r="Y1164" s="21">
        <f t="shared" si="190"/>
        <v>1.6200477894736841E-2</v>
      </c>
      <c r="AA1164" s="55">
        <f t="shared" si="191"/>
        <v>76952.26999999999</v>
      </c>
      <c r="AB1164" s="55">
        <f t="shared" si="192"/>
        <v>0</v>
      </c>
      <c r="AC1164" s="55">
        <f t="shared" si="186"/>
        <v>4750000</v>
      </c>
    </row>
    <row r="1165" spans="1:29">
      <c r="A1165" t="s">
        <v>366</v>
      </c>
      <c r="B1165" s="16" t="str">
        <f>INDEX(emprunts!C:C,MATCH($A1165,emprunts!A:A,0))</f>
        <v>Caisse d'Épargne</v>
      </c>
      <c r="C1165" s="18">
        <f>INDEX(emprunts!M:M,MATCH($A1165,emprunts!$A:$A,0))</f>
        <v>41912</v>
      </c>
      <c r="D1165" s="18">
        <f>IF(INDEX(emprunts!O:O,MATCH($A1165,emprunts!$A:$A,0))="",INDEX(emprunts!N:N,MATCH($A1165,emprunts!$A:$A,0)),MIN(INDEX(emprunts!N:N,MATCH($A1165,emprunts!$A:$A,0)),INDEX(emprunts!O:O,MATCH($A1165,emprunts!$A:$A,0))))</f>
        <v>49217</v>
      </c>
      <c r="E1165" s="52">
        <f>INDEX(emprunts!I:I,MATCH($A1165,emprunts!$A:$A,0))</f>
        <v>20</v>
      </c>
      <c r="F1165" s="18" t="str">
        <f>INDEX(emprunts!P:P,MATCH($A1165,emprunts!$A:$A,0))</f>
        <v>Fixe</v>
      </c>
      <c r="G1165" s="126" t="str">
        <f>IF(LEFT(A1165,3)="vx_","vx",INDEX(Categorie,MATCH($A1165,emprunts!$A$2:$A$149,0)))</f>
        <v>Non_st</v>
      </c>
      <c r="H1165">
        <v>2016</v>
      </c>
      <c r="I1165">
        <f t="shared" si="187"/>
        <v>1</v>
      </c>
      <c r="N1165"/>
      <c r="O1165" s="58">
        <v>9000000</v>
      </c>
      <c r="P1165" s="76">
        <v>4.41E-2</v>
      </c>
      <c r="Q1165" s="58">
        <v>420137.5</v>
      </c>
      <c r="R1165" s="58">
        <v>500000</v>
      </c>
      <c r="S1165" s="58"/>
      <c r="T1165" s="58">
        <v>100050</v>
      </c>
      <c r="U1165" s="58">
        <f t="shared" si="193"/>
        <v>920137.5</v>
      </c>
      <c r="V1165" s="14">
        <f t="shared" si="189"/>
        <v>0</v>
      </c>
      <c r="W1165" s="77"/>
      <c r="X1165" s="85">
        <f t="shared" si="188"/>
        <v>0</v>
      </c>
      <c r="Y1165" s="21">
        <f t="shared" si="190"/>
        <v>4.4819369729729726E-2</v>
      </c>
      <c r="AA1165" s="55">
        <f t="shared" si="191"/>
        <v>414579.17</v>
      </c>
      <c r="AB1165" s="55">
        <f t="shared" si="192"/>
        <v>0</v>
      </c>
      <c r="AC1165" s="55">
        <f t="shared" si="186"/>
        <v>9250000</v>
      </c>
    </row>
    <row r="1166" spans="1:29">
      <c r="A1166" t="s">
        <v>367</v>
      </c>
      <c r="B1166" s="16" t="str">
        <f>INDEX(emprunts!C:C,MATCH($A1166,emprunts!A:A,0))</f>
        <v>Caisse d'Épargne</v>
      </c>
      <c r="C1166" s="18">
        <f>INDEX(emprunts!M:M,MATCH($A1166,emprunts!$A:$A,0))</f>
        <v>42004</v>
      </c>
      <c r="D1166" s="18">
        <f>IF(INDEX(emprunts!O:O,MATCH($A1166,emprunts!$A:$A,0))="",INDEX(emprunts!N:N,MATCH($A1166,emprunts!$A:$A,0)),MIN(INDEX(emprunts!N:N,MATCH($A1166,emprunts!$A:$A,0)),INDEX(emprunts!O:O,MATCH($A1166,emprunts!$A:$A,0))))</f>
        <v>49309</v>
      </c>
      <c r="E1166" s="52">
        <f>INDEX(emprunts!I:I,MATCH($A1166,emprunts!$A:$A,0))</f>
        <v>20</v>
      </c>
      <c r="F1166" s="18" t="str">
        <f>INDEX(emprunts!P:P,MATCH($A1166,emprunts!$A:$A,0))</f>
        <v>Fixe</v>
      </c>
      <c r="G1166" s="126" t="str">
        <f>IF(LEFT(A1166,3)="vx_","vx",INDEX(Categorie,MATCH($A1166,emprunts!$A$2:$A$149,0)))</f>
        <v>Non_st</v>
      </c>
      <c r="H1166">
        <v>2016</v>
      </c>
      <c r="I1166">
        <f t="shared" si="187"/>
        <v>1</v>
      </c>
      <c r="N1166"/>
      <c r="O1166" s="58">
        <v>9000000</v>
      </c>
      <c r="P1166" s="75">
        <v>4.24E-2</v>
      </c>
      <c r="Q1166" s="58">
        <v>403718.33</v>
      </c>
      <c r="R1166" s="58">
        <v>500000</v>
      </c>
      <c r="S1166" s="58"/>
      <c r="T1166" s="58">
        <v>0</v>
      </c>
      <c r="U1166" s="58">
        <f t="shared" si="193"/>
        <v>903718.33000000007</v>
      </c>
      <c r="V1166" s="14">
        <f t="shared" si="189"/>
        <v>0</v>
      </c>
      <c r="W1166" s="77"/>
      <c r="X1166" s="85">
        <f t="shared" si="188"/>
        <v>0</v>
      </c>
      <c r="Y1166" s="21">
        <f t="shared" si="190"/>
        <v>4.3645224864864864E-2</v>
      </c>
      <c r="AA1166" s="55">
        <f t="shared" si="191"/>
        <v>403718.33</v>
      </c>
      <c r="AB1166" s="55">
        <f t="shared" si="192"/>
        <v>0</v>
      </c>
      <c r="AC1166" s="55">
        <f t="shared" si="186"/>
        <v>9250000</v>
      </c>
    </row>
    <row r="1167" spans="1:29">
      <c r="A1167" t="s">
        <v>368</v>
      </c>
      <c r="B1167" s="16" t="str">
        <f>INDEX(emprunts!C:C,MATCH($A1167,emprunts!A:A,0))</f>
        <v>Crédit Foncier</v>
      </c>
      <c r="C1167" s="18">
        <f>INDEX(emprunts!M:M,MATCH($A1167,emprunts!$A:$A,0))</f>
        <v>42048</v>
      </c>
      <c r="D1167" s="18">
        <f>IF(INDEX(emprunts!O:O,MATCH($A1167,emprunts!$A:$A,0))="",INDEX(emprunts!N:N,MATCH($A1167,emprunts!$A:$A,0)),MIN(INDEX(emprunts!N:N,MATCH($A1167,emprunts!$A:$A,0)),INDEX(emprunts!O:O,MATCH($A1167,emprunts!$A:$A,0))))</f>
        <v>47527</v>
      </c>
      <c r="E1167" s="52">
        <f>INDEX(emprunts!I:I,MATCH($A1167,emprunts!$A:$A,0))</f>
        <v>15</v>
      </c>
      <c r="F1167" s="18" t="str">
        <f>INDEX(emprunts!P:P,MATCH($A1167,emprunts!$A:$A,0))</f>
        <v>Fixe</v>
      </c>
      <c r="G1167" s="126" t="str">
        <f>IF(LEFT(A1167,3)="vx_","vx",INDEX(Categorie,MATCH($A1167,emprunts!$A$2:$A$149,0)))</f>
        <v>Non_st</v>
      </c>
      <c r="H1167">
        <v>2016</v>
      </c>
      <c r="I1167">
        <f t="shared" si="187"/>
        <v>1</v>
      </c>
      <c r="N1167"/>
      <c r="O1167" s="58">
        <v>4666667</v>
      </c>
      <c r="P1167" s="75">
        <v>3.7100000000000001E-2</v>
      </c>
      <c r="Q1167" s="58">
        <v>186000</v>
      </c>
      <c r="R1167" s="58">
        <v>333333.33</v>
      </c>
      <c r="S1167" s="58"/>
      <c r="T1167" s="58">
        <v>152864.44</v>
      </c>
      <c r="U1167" s="58">
        <f t="shared" si="193"/>
        <v>519333.33</v>
      </c>
      <c r="V1167" s="14">
        <f t="shared" si="189"/>
        <v>0</v>
      </c>
      <c r="W1167" s="77"/>
      <c r="X1167" s="85">
        <f t="shared" si="188"/>
        <v>0</v>
      </c>
      <c r="Y1167" s="21">
        <f t="shared" si="190"/>
        <v>3.6266140959668264E-2</v>
      </c>
      <c r="AA1167" s="55">
        <f t="shared" si="191"/>
        <v>175286.36000000002</v>
      </c>
      <c r="AB1167" s="55">
        <f t="shared" si="192"/>
        <v>0.33000000007450581</v>
      </c>
      <c r="AC1167" s="55">
        <f t="shared" si="186"/>
        <v>4833333.665</v>
      </c>
    </row>
    <row r="1168" spans="1:29" ht="30">
      <c r="A1168" s="1" t="s">
        <v>525</v>
      </c>
      <c r="B1168" s="16" t="str">
        <f>INDEX(emprunts!C:C,MATCH($A1168,emprunts!A:A,0))</f>
        <v>Dexia CL</v>
      </c>
      <c r="C1168" s="18">
        <f>INDEX(emprunts!M:M,MATCH($A1168,emprunts!$A:$A,0))</f>
        <v>42125</v>
      </c>
      <c r="D1168" s="18">
        <f>IF(INDEX(emprunts!O:O,MATCH($A1168,emprunts!$A:$A,0))="",INDEX(emprunts!N:N,MATCH($A1168,emprunts!$A:$A,0)),MIN(INDEX(emprunts!N:N,MATCH($A1168,emprunts!$A:$A,0)),INDEX(emprunts!O:O,MATCH($A1168,emprunts!$A:$A,0))))</f>
        <v>49430</v>
      </c>
      <c r="E1168" s="52">
        <f>INDEX(emprunts!I:I,MATCH($A1168,emprunts!$A:$A,0))</f>
        <v>20</v>
      </c>
      <c r="F1168" s="18" t="str">
        <f>INDEX(emprunts!P:P,MATCH($A1168,emprunts!$A:$A,0))</f>
        <v>Fixe</v>
      </c>
      <c r="G1168" s="126" t="str">
        <f>IF(LEFT(A1168,3)="vx_","vx",INDEX(Categorie,MATCH($A1168,emprunts!$A$2:$A$149,0)))</f>
        <v>Restr_aidé</v>
      </c>
      <c r="H1168">
        <v>2016</v>
      </c>
      <c r="I1168">
        <f t="shared" si="187"/>
        <v>1</v>
      </c>
      <c r="N1168"/>
      <c r="O1168" s="58">
        <v>17223997</v>
      </c>
      <c r="P1168" s="75">
        <v>3.5099999999999999E-2</v>
      </c>
      <c r="Q1168" s="58">
        <v>624777.69999999995</v>
      </c>
      <c r="R1168" s="58">
        <v>537142.82999999996</v>
      </c>
      <c r="S1168" s="58"/>
      <c r="T1168" s="58">
        <v>403921.87</v>
      </c>
      <c r="U1168" s="58">
        <f t="shared" si="193"/>
        <v>1161920.5299999998</v>
      </c>
      <c r="V1168" s="14">
        <f t="shared" si="189"/>
        <v>0</v>
      </c>
      <c r="W1168" s="77"/>
      <c r="X1168" s="85">
        <f t="shared" si="188"/>
        <v>0</v>
      </c>
      <c r="Y1168" s="21">
        <f t="shared" si="190"/>
        <v>3.4996638885519543E-2</v>
      </c>
      <c r="AA1168" s="55">
        <f t="shared" si="191"/>
        <v>612181.1</v>
      </c>
      <c r="AB1168" s="55">
        <f t="shared" si="192"/>
        <v>-0.17000000178813934</v>
      </c>
      <c r="AC1168" s="55">
        <f t="shared" si="186"/>
        <v>17492568.414999999</v>
      </c>
    </row>
    <row r="1169" spans="1:29" ht="30">
      <c r="A1169" t="s">
        <v>369</v>
      </c>
      <c r="B1169" s="16" t="str">
        <f>INDEX(emprunts!C:C,MATCH($A1169,emprunts!A:A,0))</f>
        <v>Dexia CL</v>
      </c>
      <c r="C1169" s="18">
        <f>INDEX(emprunts!M:M,MATCH($A1169,emprunts!$A:$A,0))</f>
        <v>42339</v>
      </c>
      <c r="D1169" s="18">
        <f>IF(INDEX(emprunts!O:O,MATCH($A1169,emprunts!$A:$A,0))="",INDEX(emprunts!N:N,MATCH($A1169,emprunts!$A:$A,0)),MIN(INDEX(emprunts!N:N,MATCH($A1169,emprunts!$A:$A,0)),INDEX(emprunts!O:O,MATCH($A1169,emprunts!$A:$A,0))))</f>
        <v>51471</v>
      </c>
      <c r="E1169" s="52">
        <f>INDEX(emprunts!I:I,MATCH($A1169,emprunts!$A:$A,0))</f>
        <v>25</v>
      </c>
      <c r="F1169" s="18" t="str">
        <f>INDEX(emprunts!P:P,MATCH($A1169,emprunts!$A:$A,0))</f>
        <v>Fixe</v>
      </c>
      <c r="G1169" s="126" t="str">
        <f>IF(LEFT(A1169,3)="vx_","vx",INDEX(Categorie,MATCH($A1169,emprunts!$A$2:$A$149,0)))</f>
        <v>Restr_sec</v>
      </c>
      <c r="H1169">
        <v>2016</v>
      </c>
      <c r="I1169">
        <f t="shared" si="187"/>
        <v>1</v>
      </c>
      <c r="N1169"/>
      <c r="O1169" s="58">
        <v>8811428</v>
      </c>
      <c r="P1169" s="75">
        <v>3.27E-2</v>
      </c>
      <c r="Q1169" s="58">
        <v>295545</v>
      </c>
      <c r="R1169" s="58">
        <v>188572.12</v>
      </c>
      <c r="S1169" s="58"/>
      <c r="T1169" s="58">
        <v>23717.43</v>
      </c>
      <c r="U1169" s="58">
        <f t="shared" si="193"/>
        <v>484117.12</v>
      </c>
      <c r="V1169" s="14">
        <f t="shared" si="189"/>
        <v>0</v>
      </c>
      <c r="W1169" s="77"/>
      <c r="X1169" s="85">
        <f t="shared" si="188"/>
        <v>0</v>
      </c>
      <c r="Y1169" s="21">
        <f t="shared" si="190"/>
        <v>3.3129003245810473E-2</v>
      </c>
      <c r="AA1169" s="55">
        <f t="shared" si="191"/>
        <v>295037.43</v>
      </c>
      <c r="AB1169" s="55">
        <f t="shared" si="192"/>
        <v>0.11999999918043613</v>
      </c>
      <c r="AC1169" s="55">
        <f t="shared" si="186"/>
        <v>8905714.0600000005</v>
      </c>
    </row>
    <row r="1170" spans="1:29">
      <c r="A1170" t="s">
        <v>370</v>
      </c>
      <c r="B1170" s="16" t="str">
        <f>INDEX(emprunts!C:C,MATCH($A1170,emprunts!A:A,0))</f>
        <v>CDC</v>
      </c>
      <c r="C1170" s="18">
        <f>INDEX(emprunts!M:M,MATCH($A1170,emprunts!$A:$A,0))</f>
        <v>42370</v>
      </c>
      <c r="D1170" s="18">
        <f>IF(INDEX(emprunts!O:O,MATCH($A1170,emprunts!$A:$A,0))="",INDEX(emprunts!N:N,MATCH($A1170,emprunts!$A:$A,0)),MIN(INDEX(emprunts!N:N,MATCH($A1170,emprunts!$A:$A,0)),INDEX(emprunts!O:O,MATCH($A1170,emprunts!$A:$A,0))))</f>
        <v>47849</v>
      </c>
      <c r="E1170" s="52">
        <f>INDEX(emprunts!I:I,MATCH($A1170,emprunts!$A:$A,0))</f>
        <v>15</v>
      </c>
      <c r="F1170" s="18" t="str">
        <f>INDEX(emprunts!P:P,MATCH($A1170,emprunts!$A:$A,0))</f>
        <v>Livret A</v>
      </c>
      <c r="G1170" s="126" t="str">
        <f>IF(LEFT(A1170,3)="vx_","vx",INDEX(Categorie,MATCH($A1170,emprunts!$A$2:$A$149,0)))</f>
        <v>Livr_A</v>
      </c>
      <c r="H1170">
        <v>2016</v>
      </c>
      <c r="I1170">
        <f t="shared" si="187"/>
        <v>1</v>
      </c>
      <c r="N1170"/>
      <c r="O1170" s="58">
        <v>4552083</v>
      </c>
      <c r="P1170" s="75">
        <v>1.49E-2</v>
      </c>
      <c r="Q1170" s="58">
        <v>52663.18</v>
      </c>
      <c r="R1170" s="58">
        <v>239583.33</v>
      </c>
      <c r="S1170" s="58"/>
      <c r="T1170" s="58">
        <v>16786.509999999998</v>
      </c>
      <c r="U1170" s="58">
        <f t="shared" si="193"/>
        <v>292246.51</v>
      </c>
      <c r="V1170" s="14">
        <f t="shared" si="189"/>
        <v>0</v>
      </c>
      <c r="W1170" s="77"/>
      <c r="X1170" s="85">
        <f t="shared" si="188"/>
        <v>0</v>
      </c>
      <c r="Y1170" s="21">
        <f t="shared" si="190"/>
        <v>1.4865486550889739E-2</v>
      </c>
      <c r="AA1170" s="55">
        <f t="shared" si="191"/>
        <v>69449.69</v>
      </c>
      <c r="AB1170" s="55" t="str">
        <f t="shared" si="192"/>
        <v/>
      </c>
      <c r="AC1170" s="55">
        <f t="shared" ref="AC1170:AC1226" si="194">MAX(0,(C1170-DATE(H1170,1,1))/365)*0+MAX(0,MIN(1,(MIN(DATE(H1170,12,31),D1170)-MAX(DATE(H1170,1,1),C1170))/365))*(O1170+X1170+R1170/2)</f>
        <v>4671874.665</v>
      </c>
    </row>
    <row r="1171" spans="1:29">
      <c r="A1171" t="s">
        <v>371</v>
      </c>
      <c r="B1171" s="16" t="str">
        <f>INDEX(emprunts!C:C,MATCH($A1171,emprunts!A:A,0))</f>
        <v>Arkea</v>
      </c>
      <c r="C1171" s="18">
        <f>INDEX(emprunts!M:M,MATCH($A1171,emprunts!$A:$A,0))</f>
        <v>42408</v>
      </c>
      <c r="D1171" s="18">
        <f>IF(INDEX(emprunts!O:O,MATCH($A1171,emprunts!$A:$A,0))="",INDEX(emprunts!N:N,MATCH($A1171,emprunts!$A:$A,0)),MIN(INDEX(emprunts!N:N,MATCH($A1171,emprunts!$A:$A,0)),INDEX(emprunts!O:O,MATCH($A1171,emprunts!$A:$A,0))))</f>
        <v>49704</v>
      </c>
      <c r="E1171" s="52">
        <f>INDEX(emprunts!I:I,MATCH($A1171,emprunts!$A:$A,0))</f>
        <v>20</v>
      </c>
      <c r="F1171" s="18" t="str">
        <f>INDEX(emprunts!P:P,MATCH($A1171,emprunts!$A:$A,0))</f>
        <v>Fixe</v>
      </c>
      <c r="G1171" s="126" t="str">
        <f>IF(LEFT(A1171,3)="vx_","vx",INDEX(Categorie,MATCH($A1171,emprunts!$A$2:$A$149,0)))</f>
        <v>Non_st</v>
      </c>
      <c r="H1171">
        <v>2016</v>
      </c>
      <c r="I1171">
        <f t="shared" si="187"/>
        <v>1</v>
      </c>
      <c r="N1171"/>
      <c r="O1171" s="58">
        <v>9704350</v>
      </c>
      <c r="P1171" s="75">
        <v>2.4199999999999999E-2</v>
      </c>
      <c r="Q1171" s="58">
        <v>175357.47</v>
      </c>
      <c r="R1171" s="58">
        <v>295649.86</v>
      </c>
      <c r="S1171" s="58"/>
      <c r="T1171" s="58">
        <v>38493.919999999998</v>
      </c>
      <c r="U1171" s="58">
        <f t="shared" si="193"/>
        <v>471007.32999999996</v>
      </c>
      <c r="V1171" s="14">
        <f t="shared" si="189"/>
        <v>0</v>
      </c>
      <c r="W1171" s="77"/>
      <c r="X1171" s="85">
        <f t="shared" si="188"/>
        <v>0</v>
      </c>
      <c r="Y1171" s="21">
        <f t="shared" si="190"/>
        <v>2.4228418959410768E-2</v>
      </c>
      <c r="AA1171" s="55">
        <f t="shared" si="191"/>
        <v>213851.39</v>
      </c>
      <c r="AB1171" s="55" t="str">
        <f t="shared" si="192"/>
        <v/>
      </c>
      <c r="AC1171" s="55">
        <f t="shared" si="194"/>
        <v>8826469.0468767118</v>
      </c>
    </row>
    <row r="1172" spans="1:29" ht="30">
      <c r="A1172" s="1" t="s">
        <v>488</v>
      </c>
      <c r="B1172" s="16" t="str">
        <f>INDEX(emprunts!C:C,MATCH($A1172,emprunts!A:A,0))</f>
        <v>Dexia CL</v>
      </c>
      <c r="C1172" s="18">
        <f>INDEX(emprunts!M:M,MATCH($A1172,emprunts!$A:$A,0))</f>
        <v>42644</v>
      </c>
      <c r="D1172" s="18">
        <f>IF(INDEX(emprunts!O:O,MATCH($A1172,emprunts!$A:$A,0))="",INDEX(emprunts!N:N,MATCH($A1172,emprunts!$A:$A,0)),MIN(INDEX(emprunts!N:N,MATCH($A1172,emprunts!$A:$A,0)),INDEX(emprunts!O:O,MATCH($A1172,emprunts!$A:$A,0))))</f>
        <v>49857</v>
      </c>
      <c r="E1172" s="52">
        <f>INDEX(emprunts!I:I,MATCH($A1172,emprunts!$A:$A,0))</f>
        <v>19.75</v>
      </c>
      <c r="F1172" s="18" t="str">
        <f>INDEX(emprunts!P:P,MATCH($A1172,emprunts!$A:$A,0))</f>
        <v>Fixe</v>
      </c>
      <c r="G1172" s="126" t="str">
        <f>IF(LEFT(A1172,3)="vx_","vx",INDEX(Categorie,MATCH($A1172,emprunts!$A$2:$A$149,0)))</f>
        <v>Restr_aidé</v>
      </c>
      <c r="H1172">
        <v>2016</v>
      </c>
      <c r="I1172">
        <f t="shared" si="187"/>
        <v>1</v>
      </c>
      <c r="N1172" s="58"/>
      <c r="O1172" s="58">
        <v>10461760</v>
      </c>
      <c r="P1172" s="75">
        <v>4.1099999999999998E-2</v>
      </c>
      <c r="Q1172" s="58">
        <v>0</v>
      </c>
      <c r="R1172" s="58">
        <v>0</v>
      </c>
      <c r="S1172" s="58"/>
      <c r="T1172" s="58">
        <v>107102.27</v>
      </c>
      <c r="U1172" s="58">
        <f t="shared" si="193"/>
        <v>0</v>
      </c>
      <c r="V1172" s="14">
        <f t="shared" si="189"/>
        <v>0</v>
      </c>
      <c r="W1172" s="77"/>
      <c r="X1172" s="85">
        <f t="shared" si="188"/>
        <v>0</v>
      </c>
      <c r="Y1172" s="21">
        <f t="shared" si="190"/>
        <v>4.106250076679048E-2</v>
      </c>
      <c r="AA1172" s="55">
        <f t="shared" si="191"/>
        <v>107102.27</v>
      </c>
      <c r="AB1172" s="55" t="str">
        <f t="shared" si="192"/>
        <v/>
      </c>
      <c r="AC1172" s="55">
        <f t="shared" si="194"/>
        <v>2608274.4109589043</v>
      </c>
    </row>
    <row r="1173" spans="1:29">
      <c r="A1173" s="1" t="s">
        <v>524</v>
      </c>
      <c r="B1173" s="16" t="str">
        <f>INDEX(emprunts!C:C,MATCH($A1173,emprunts!A:A,0))</f>
        <v>Dexia CL</v>
      </c>
      <c r="C1173" s="18">
        <f>INDEX(emprunts!M:M,MATCH($A1173,emprunts!$A:$A,0))</f>
        <v>42644</v>
      </c>
      <c r="D1173" s="18">
        <f>IF(INDEX(emprunts!O:O,MATCH($A1173,emprunts!$A:$A,0))="",INDEX(emprunts!N:N,MATCH($A1173,emprunts!$A:$A,0)),MIN(INDEX(emprunts!N:N,MATCH($A1173,emprunts!$A:$A,0)),INDEX(emprunts!O:O,MATCH($A1173,emprunts!$A:$A,0))))</f>
        <v>49857</v>
      </c>
      <c r="E1173" s="52">
        <f>INDEX(emprunts!I:I,MATCH($A1173,emprunts!$A:$A,0))</f>
        <v>19.75</v>
      </c>
      <c r="F1173" s="18" t="str">
        <f>INDEX(emprunts!P:P,MATCH($A1173,emprunts!$A:$A,0))</f>
        <v>Fixe</v>
      </c>
      <c r="G1173" s="126" t="str">
        <f>IF(LEFT(A1173,3)="vx_","vx",INDEX(Categorie,MATCH($A1173,emprunts!$A$2:$A$149,0)))</f>
        <v>Non_st</v>
      </c>
      <c r="H1173">
        <v>2016</v>
      </c>
      <c r="I1173">
        <f t="shared" si="187"/>
        <v>1</v>
      </c>
      <c r="N1173" s="58"/>
      <c r="O1173" s="58">
        <v>3000000</v>
      </c>
      <c r="P1173" s="75">
        <v>2.7900000000000001E-2</v>
      </c>
      <c r="Q1173" s="58">
        <v>0</v>
      </c>
      <c r="R1173" s="58">
        <v>0</v>
      </c>
      <c r="S1173" s="58"/>
      <c r="T1173" s="58">
        <v>20584.169999999998</v>
      </c>
      <c r="U1173" s="58">
        <f t="shared" si="193"/>
        <v>0</v>
      </c>
      <c r="V1173" s="14">
        <f t="shared" si="189"/>
        <v>0</v>
      </c>
      <c r="W1173" s="77"/>
      <c r="X1173" s="85">
        <f t="shared" si="188"/>
        <v>0</v>
      </c>
      <c r="Y1173" s="21">
        <f t="shared" si="190"/>
        <v>2.752095989010989E-2</v>
      </c>
      <c r="AA1173" s="55">
        <f t="shared" si="191"/>
        <v>20584.169999999998</v>
      </c>
      <c r="AB1173" s="55" t="str">
        <f t="shared" si="192"/>
        <v/>
      </c>
      <c r="AC1173" s="55">
        <f t="shared" si="194"/>
        <v>747945.20547945204</v>
      </c>
    </row>
    <row r="1174" spans="1:29" ht="30">
      <c r="A1174" s="1" t="s">
        <v>494</v>
      </c>
      <c r="B1174" s="16" t="str">
        <f>INDEX(emprunts!C:C,MATCH($A1174,emprunts!A:A,0))</f>
        <v>Dexia CL</v>
      </c>
      <c r="C1174" s="18">
        <f>INDEX(emprunts!M:M,MATCH($A1174,emprunts!$A:$A,0))</f>
        <v>42675</v>
      </c>
      <c r="D1174" s="18">
        <f>IF(INDEX(emprunts!O:O,MATCH($A1174,emprunts!$A:$A,0))="",INDEX(emprunts!N:N,MATCH($A1174,emprunts!$A:$A,0)),MIN(INDEX(emprunts!N:N,MATCH($A1174,emprunts!$A:$A,0)),INDEX(emprunts!O:O,MATCH($A1174,emprunts!$A:$A,0))))</f>
        <v>49644</v>
      </c>
      <c r="E1174" s="52">
        <f>INDEX(emprunts!I:I,MATCH($A1174,emprunts!$A:$A,0))</f>
        <v>19.079999999999998</v>
      </c>
      <c r="F1174" s="18" t="str">
        <f>INDEX(emprunts!P:P,MATCH($A1174,emprunts!$A:$A,0))</f>
        <v>Fixe</v>
      </c>
      <c r="G1174" s="126" t="str">
        <f>IF(LEFT(A1174,3)="vx_","vx",INDEX(Categorie,MATCH($A1174,emprunts!$A$2:$A$149,0)))</f>
        <v>Restr_aidé</v>
      </c>
      <c r="H1174">
        <v>2016</v>
      </c>
      <c r="I1174">
        <f t="shared" si="187"/>
        <v>1</v>
      </c>
      <c r="N1174"/>
      <c r="O1174" s="58">
        <v>8979568</v>
      </c>
      <c r="P1174" s="75">
        <v>3.0200000000000001E-2</v>
      </c>
      <c r="Q1174" s="58">
        <v>22669.41</v>
      </c>
      <c r="R1174" s="58">
        <v>149054.29999999999</v>
      </c>
      <c r="S1174" s="58"/>
      <c r="T1174" s="58">
        <v>22299.26</v>
      </c>
      <c r="U1174" s="58">
        <f t="shared" si="193"/>
        <v>171723.71</v>
      </c>
      <c r="V1174" s="14">
        <f t="shared" si="189"/>
        <v>0</v>
      </c>
      <c r="W1174" s="77"/>
      <c r="X1174" s="85">
        <f t="shared" si="188"/>
        <v>0</v>
      </c>
      <c r="Y1174" s="21">
        <f t="shared" si="190"/>
        <v>3.0213887156538957E-2</v>
      </c>
      <c r="AA1174" s="55">
        <f t="shared" si="191"/>
        <v>44968.67</v>
      </c>
      <c r="AB1174" s="55" t="str">
        <f t="shared" si="192"/>
        <v/>
      </c>
      <c r="AC1174" s="55">
        <f t="shared" si="194"/>
        <v>1488344.408219178</v>
      </c>
    </row>
    <row r="1175" spans="1:29">
      <c r="A1175" s="1" t="s">
        <v>523</v>
      </c>
      <c r="B1175" s="16" t="str">
        <f>INDEX(emprunts!C:C,MATCH($A1175,emprunts!A:A,0))</f>
        <v>Dexia CL</v>
      </c>
      <c r="C1175" s="18">
        <f>INDEX(emprunts!M:M,MATCH($A1175,emprunts!$A:$A,0))</f>
        <v>42675</v>
      </c>
      <c r="D1175" s="18">
        <f>IF(INDEX(emprunts!O:O,MATCH($A1175,emprunts!$A:$A,0))="",INDEX(emprunts!N:N,MATCH($A1175,emprunts!$A:$A,0)),MIN(INDEX(emprunts!N:N,MATCH($A1175,emprunts!$A:$A,0)),INDEX(emprunts!O:O,MATCH($A1175,emprunts!$A:$A,0))))</f>
        <v>49614</v>
      </c>
      <c r="E1175" s="52">
        <f>INDEX(emprunts!I:I,MATCH($A1175,emprunts!$A:$A,0))</f>
        <v>19</v>
      </c>
      <c r="F1175" s="18" t="str">
        <f>INDEX(emprunts!P:P,MATCH($A1175,emprunts!$A:$A,0))</f>
        <v>Fixe</v>
      </c>
      <c r="G1175" s="126" t="str">
        <f>IF(LEFT(A1175,3)="vx_","vx",INDEX(Categorie,MATCH($A1175,emprunts!$A$2:$A$149,0)))</f>
        <v>Non_st</v>
      </c>
      <c r="H1175">
        <v>2016</v>
      </c>
      <c r="I1175">
        <f t="shared" si="187"/>
        <v>1</v>
      </c>
      <c r="N1175"/>
      <c r="O1175" s="58">
        <v>17000000</v>
      </c>
      <c r="P1175" s="75">
        <v>2.7900000000000001E-2</v>
      </c>
      <c r="Q1175" s="58">
        <v>0</v>
      </c>
      <c r="R1175" s="58">
        <v>0</v>
      </c>
      <c r="S1175" s="58"/>
      <c r="T1175" s="58">
        <v>77916.67</v>
      </c>
      <c r="U1175" s="58">
        <f t="shared" si="193"/>
        <v>0</v>
      </c>
      <c r="V1175" s="14">
        <f t="shared" si="189"/>
        <v>0</v>
      </c>
      <c r="W1175" s="77"/>
      <c r="X1175" s="85">
        <f t="shared" si="188"/>
        <v>0</v>
      </c>
      <c r="Y1175" s="21">
        <f t="shared" si="190"/>
        <v>2.7881945637254903E-2</v>
      </c>
      <c r="AA1175" s="55">
        <f t="shared" si="191"/>
        <v>77916.67</v>
      </c>
      <c r="AB1175" s="55" t="str">
        <f t="shared" si="192"/>
        <v/>
      </c>
      <c r="AC1175" s="55">
        <f t="shared" si="194"/>
        <v>2794520.5479452051</v>
      </c>
    </row>
    <row r="1176" spans="1:29" ht="30">
      <c r="A1176" s="1" t="s">
        <v>491</v>
      </c>
      <c r="B1176" s="16" t="str">
        <f>INDEX(emprunts!C:C,MATCH($A1176,emprunts!A:A,0))</f>
        <v>Dexia CL</v>
      </c>
      <c r="C1176" s="18">
        <f>INDEX(emprunts!M:M,MATCH($A1176,emprunts!$A:$A,0))</f>
        <v>43040</v>
      </c>
      <c r="D1176" s="18">
        <f>IF(INDEX(emprunts!O:O,MATCH($A1176,emprunts!$A:$A,0))="",INDEX(emprunts!N:N,MATCH($A1176,emprunts!$A:$A,0)),MIN(INDEX(emprunts!N:N,MATCH($A1176,emprunts!$A:$A,0)),INDEX(emprunts!O:O,MATCH($A1176,emprunts!$A:$A,0))))</f>
        <v>50345</v>
      </c>
      <c r="E1176" s="52">
        <f>INDEX(emprunts!I:I,MATCH($A1176,emprunts!$A:$A,0))</f>
        <v>20</v>
      </c>
      <c r="F1176" s="18" t="str">
        <f>INDEX(emprunts!P:P,MATCH($A1176,emprunts!$A:$A,0))</f>
        <v>Fixe</v>
      </c>
      <c r="G1176" s="126" t="str">
        <f>IF(LEFT(A1176,3)="vx_","vx",INDEX(Categorie,MATCH($A1176,emprunts!$A$2:$A$149,0)))</f>
        <v>Restr_aidé</v>
      </c>
      <c r="H1176">
        <v>2016</v>
      </c>
      <c r="I1176">
        <f t="shared" si="187"/>
        <v>0</v>
      </c>
      <c r="N1176"/>
      <c r="O1176" s="58"/>
      <c r="V1176" s="14" t="str">
        <f t="shared" si="189"/>
        <v/>
      </c>
      <c r="X1176" s="85">
        <f t="shared" si="188"/>
        <v>0</v>
      </c>
      <c r="Y1176" s="21" t="str">
        <f t="shared" si="190"/>
        <v/>
      </c>
      <c r="AA1176" s="55">
        <f t="shared" si="191"/>
        <v>0</v>
      </c>
      <c r="AB1176" s="55">
        <f t="shared" si="192"/>
        <v>0</v>
      </c>
      <c r="AC1176" s="55">
        <f t="shared" si="194"/>
        <v>0</v>
      </c>
    </row>
    <row r="1177" spans="1:29">
      <c r="A1177" s="1" t="s">
        <v>492</v>
      </c>
      <c r="B1177" s="16" t="str">
        <f>INDEX(emprunts!C:C,MATCH($A1177,emprunts!A:A,0))</f>
        <v>Dexia CL</v>
      </c>
      <c r="C1177" s="18">
        <f>INDEX(emprunts!M:M,MATCH($A1177,emprunts!$A:$A,0))</f>
        <v>43040</v>
      </c>
      <c r="D1177" s="18">
        <f>IF(INDEX(emprunts!O:O,MATCH($A1177,emprunts!$A:$A,0))="",INDEX(emprunts!N:N,MATCH($A1177,emprunts!$A:$A,0)),MIN(INDEX(emprunts!N:N,MATCH($A1177,emprunts!$A:$A,0)),INDEX(emprunts!O:O,MATCH($A1177,emprunts!$A:$A,0))))</f>
        <v>50345</v>
      </c>
      <c r="E1177" s="52">
        <f>INDEX(emprunts!I:I,MATCH($A1177,emprunts!$A:$A,0))</f>
        <v>20</v>
      </c>
      <c r="F1177" s="18" t="str">
        <f>INDEX(emprunts!P:P,MATCH($A1177,emprunts!$A:$A,0))</f>
        <v>Fixe</v>
      </c>
      <c r="G1177" s="126" t="str">
        <f>IF(LEFT(A1177,3)="vx_","vx",INDEX(Categorie,MATCH($A1177,emprunts!$A$2:$A$149,0)))</f>
        <v>Non_st</v>
      </c>
      <c r="H1177">
        <v>2016</v>
      </c>
      <c r="I1177">
        <f t="shared" si="187"/>
        <v>0</v>
      </c>
      <c r="N1177"/>
      <c r="O1177" s="58"/>
      <c r="V1177" s="14" t="str">
        <f t="shared" si="189"/>
        <v/>
      </c>
      <c r="X1177" s="85">
        <f t="shared" si="188"/>
        <v>0</v>
      </c>
      <c r="Y1177" s="21" t="str">
        <f t="shared" si="190"/>
        <v/>
      </c>
      <c r="AA1177" s="55">
        <f t="shared" si="191"/>
        <v>0</v>
      </c>
      <c r="AB1177" s="55">
        <f t="shared" si="192"/>
        <v>0</v>
      </c>
      <c r="AC1177" s="55">
        <f t="shared" si="194"/>
        <v>0</v>
      </c>
    </row>
    <row r="1178" spans="1:29" ht="30">
      <c r="A1178" s="1" t="s">
        <v>500</v>
      </c>
      <c r="B1178" s="16" t="str">
        <f>INDEX(emprunts!C:C,MATCH($A1178,emprunts!A:A,0))</f>
        <v>Dexia CL</v>
      </c>
      <c r="C1178" s="18">
        <f>INDEX(emprunts!M:M,MATCH($A1178,emprunts!$A:$A,0))</f>
        <v>43040</v>
      </c>
      <c r="D1178" s="18">
        <f>IF(INDEX(emprunts!O:O,MATCH($A1178,emprunts!$A:$A,0))="",INDEX(emprunts!N:N,MATCH($A1178,emprunts!$A:$A,0)),MIN(INDEX(emprunts!N:N,MATCH($A1178,emprunts!$A:$A,0)),INDEX(emprunts!O:O,MATCH($A1178,emprunts!$A:$A,0))))</f>
        <v>49249</v>
      </c>
      <c r="E1178" s="52">
        <f>INDEX(emprunts!I:I,MATCH($A1178,emprunts!$A:$A,0))</f>
        <v>17</v>
      </c>
      <c r="F1178" s="18" t="str">
        <f>INDEX(emprunts!P:P,MATCH($A1178,emprunts!$A:$A,0))</f>
        <v>Fixe</v>
      </c>
      <c r="G1178" s="126" t="str">
        <f>IF(LEFT(A1178,3)="vx_","vx",INDEX(Categorie,MATCH($A1178,emprunts!$A$2:$A$149,0)))</f>
        <v>Restr_aidé</v>
      </c>
      <c r="H1178">
        <v>2016</v>
      </c>
      <c r="I1178">
        <f t="shared" si="187"/>
        <v>0</v>
      </c>
      <c r="N1178"/>
      <c r="O1178" s="58"/>
      <c r="V1178" s="14" t="str">
        <f t="shared" si="189"/>
        <v/>
      </c>
      <c r="X1178" s="85">
        <f t="shared" si="188"/>
        <v>0</v>
      </c>
      <c r="Y1178" s="21" t="str">
        <f t="shared" si="190"/>
        <v/>
      </c>
      <c r="AA1178" s="55">
        <f t="shared" si="191"/>
        <v>0</v>
      </c>
      <c r="AB1178" s="55">
        <f t="shared" si="192"/>
        <v>0</v>
      </c>
      <c r="AC1178" s="55">
        <f t="shared" si="194"/>
        <v>0</v>
      </c>
    </row>
    <row r="1179" spans="1:29">
      <c r="A1179" s="1" t="s">
        <v>519</v>
      </c>
      <c r="B1179" s="16" t="str">
        <f>INDEX(emprunts!C:C,MATCH($A1179,emprunts!A:A,0))</f>
        <v>Dexia CL</v>
      </c>
      <c r="C1179" s="18">
        <f>INDEX(emprunts!M:M,MATCH($A1179,emprunts!$A:$A,0))</f>
        <v>43040</v>
      </c>
      <c r="D1179" s="18">
        <f>IF(INDEX(emprunts!O:O,MATCH($A1179,emprunts!$A:$A,0))="",INDEX(emprunts!N:N,MATCH($A1179,emprunts!$A:$A,0)),MIN(INDEX(emprunts!N:N,MATCH($A1179,emprunts!$A:$A,0)),INDEX(emprunts!O:O,MATCH($A1179,emprunts!$A:$A,0))))</f>
        <v>49249</v>
      </c>
      <c r="E1179" s="52">
        <f>INDEX(emprunts!I:I,MATCH($A1179,emprunts!$A:$A,0))</f>
        <v>17</v>
      </c>
      <c r="F1179" s="18" t="str">
        <f>INDEX(emprunts!P:P,MATCH($A1179,emprunts!$A:$A,0))</f>
        <v>Fixe</v>
      </c>
      <c r="G1179" s="126" t="str">
        <f>IF(LEFT(A1179,3)="vx_","vx",INDEX(Categorie,MATCH($A1179,emprunts!$A$2:$A$149,0)))</f>
        <v>Non_st</v>
      </c>
      <c r="H1179">
        <v>2016</v>
      </c>
      <c r="I1179">
        <f t="shared" si="187"/>
        <v>0</v>
      </c>
      <c r="N1179"/>
      <c r="O1179" s="58"/>
      <c r="V1179" s="14" t="str">
        <f t="shared" si="189"/>
        <v/>
      </c>
      <c r="X1179" s="85">
        <f t="shared" si="188"/>
        <v>0</v>
      </c>
      <c r="Y1179" s="21" t="str">
        <f t="shared" si="190"/>
        <v/>
      </c>
      <c r="AA1179" s="55">
        <f t="shared" si="191"/>
        <v>0</v>
      </c>
      <c r="AB1179" s="55">
        <f t="shared" si="192"/>
        <v>0</v>
      </c>
      <c r="AC1179" s="55">
        <f t="shared" si="194"/>
        <v>0</v>
      </c>
    </row>
    <row r="1180" spans="1:29" ht="30">
      <c r="A1180" s="1" t="s">
        <v>499</v>
      </c>
      <c r="B1180" s="16" t="str">
        <f>INDEX(emprunts!C:C,MATCH($A1180,emprunts!A:A,0))</f>
        <v>Dexia CL</v>
      </c>
      <c r="C1180" s="18">
        <f>INDEX(emprunts!M:M,MATCH($A1180,emprunts!$A:$A,0))</f>
        <v>43101</v>
      </c>
      <c r="D1180" s="18">
        <f>IF(INDEX(emprunts!O:O,MATCH($A1180,emprunts!$A:$A,0))="",INDEX(emprunts!N:N,MATCH($A1180,emprunts!$A:$A,0)),MIN(INDEX(emprunts!N:N,MATCH($A1180,emprunts!$A:$A,0)),INDEX(emprunts!O:O,MATCH($A1180,emprunts!$A:$A,0))))</f>
        <v>48580</v>
      </c>
      <c r="E1180" s="52">
        <f>INDEX(emprunts!I:I,MATCH($A1180,emprunts!$A:$A,0))</f>
        <v>15</v>
      </c>
      <c r="F1180" s="18" t="str">
        <f>INDEX(emprunts!P:P,MATCH($A1180,emprunts!$A:$A,0))</f>
        <v>Fixe</v>
      </c>
      <c r="G1180" s="126" t="str">
        <f>IF(LEFT(A1180,3)="vx_","vx",INDEX(Categorie,MATCH($A1180,emprunts!$A$2:$A$149,0)))</f>
        <v>Restr_aidé</v>
      </c>
      <c r="H1180">
        <v>2016</v>
      </c>
      <c r="I1180">
        <f t="shared" si="187"/>
        <v>0</v>
      </c>
      <c r="N1180"/>
      <c r="O1180" s="58"/>
      <c r="V1180" s="14" t="str">
        <f t="shared" si="189"/>
        <v/>
      </c>
      <c r="X1180" s="85">
        <f t="shared" si="188"/>
        <v>0</v>
      </c>
      <c r="Y1180" s="21" t="str">
        <f t="shared" si="190"/>
        <v/>
      </c>
      <c r="AA1180" s="55">
        <f t="shared" si="191"/>
        <v>0</v>
      </c>
      <c r="AB1180" s="55">
        <f t="shared" si="192"/>
        <v>0</v>
      </c>
      <c r="AC1180" s="55">
        <f t="shared" si="194"/>
        <v>0</v>
      </c>
    </row>
    <row r="1181" spans="1:29">
      <c r="A1181" s="1" t="s">
        <v>521</v>
      </c>
      <c r="B1181" s="16" t="str">
        <f>INDEX(emprunts!C:C,MATCH($A1181,emprunts!A:A,0))</f>
        <v>Dexia CL</v>
      </c>
      <c r="C1181" s="18">
        <f>INDEX(emprunts!M:M,MATCH($A1181,emprunts!$A:$A,0))</f>
        <v>43101</v>
      </c>
      <c r="D1181" s="18">
        <f>IF(INDEX(emprunts!O:O,MATCH($A1181,emprunts!$A:$A,0))="",INDEX(emprunts!N:N,MATCH($A1181,emprunts!$A:$A,0)),MIN(INDEX(emprunts!N:N,MATCH($A1181,emprunts!$A:$A,0)),INDEX(emprunts!O:O,MATCH($A1181,emprunts!$A:$A,0))))</f>
        <v>48580</v>
      </c>
      <c r="E1181" s="52">
        <f>INDEX(emprunts!I:I,MATCH($A1181,emprunts!$A:$A,0))</f>
        <v>15</v>
      </c>
      <c r="F1181" s="18" t="str">
        <f>INDEX(emprunts!P:P,MATCH($A1181,emprunts!$A:$A,0))</f>
        <v>Fixe</v>
      </c>
      <c r="G1181" s="126" t="str">
        <f>IF(LEFT(A1181,3)="vx_","vx",INDEX(Categorie,MATCH($A1181,emprunts!$A$2:$A$149,0)))</f>
        <v>Non_st</v>
      </c>
      <c r="H1181">
        <v>2016</v>
      </c>
      <c r="I1181">
        <f t="shared" si="187"/>
        <v>0</v>
      </c>
      <c r="N1181"/>
      <c r="O1181" s="58"/>
      <c r="V1181" s="14" t="str">
        <f t="shared" si="189"/>
        <v/>
      </c>
      <c r="X1181" s="85">
        <f t="shared" si="188"/>
        <v>0</v>
      </c>
      <c r="Y1181" s="21" t="str">
        <f t="shared" si="190"/>
        <v/>
      </c>
      <c r="AA1181" s="55">
        <f t="shared" si="191"/>
        <v>0</v>
      </c>
      <c r="AB1181" s="55">
        <f t="shared" si="192"/>
        <v>0</v>
      </c>
      <c r="AC1181" s="55">
        <f t="shared" si="194"/>
        <v>0</v>
      </c>
    </row>
    <row r="1182" spans="1:29" ht="30">
      <c r="A1182" s="1" t="s">
        <v>505</v>
      </c>
      <c r="B1182" s="16" t="str">
        <f>INDEX(emprunts!C:C,MATCH($A1182,emprunts!A:A,0))</f>
        <v>Caisse d'Épargne</v>
      </c>
      <c r="C1182" s="18">
        <f>INDEX(emprunts!M:M,MATCH($A1182,emprunts!$A:$A,0))</f>
        <v>43156</v>
      </c>
      <c r="D1182" s="18">
        <f>IF(INDEX(emprunts!O:O,MATCH($A1182,emprunts!$A:$A,0))="",INDEX(emprunts!N:N,MATCH($A1182,emprunts!$A:$A,0)),MIN(INDEX(emprunts!N:N,MATCH($A1182,emprunts!$A:$A,0)),INDEX(emprunts!O:O,MATCH($A1182,emprunts!$A:$A,0))))</f>
        <v>46078</v>
      </c>
      <c r="E1182" s="52">
        <f>INDEX(emprunts!I:I,MATCH($A1182,emprunts!$A:$A,0))</f>
        <v>8</v>
      </c>
      <c r="F1182" s="18" t="str">
        <f>INDEX(emprunts!P:P,MATCH($A1182,emprunts!$A:$A,0))</f>
        <v>Fixe</v>
      </c>
      <c r="G1182" s="126" t="str">
        <f>IF(LEFT(A1182,3)="vx_","vx",INDEX(Categorie,MATCH($A1182,emprunts!$A$2:$A$149,0)))</f>
        <v>Restr_sec</v>
      </c>
      <c r="H1182">
        <v>2016</v>
      </c>
      <c r="I1182">
        <f t="shared" si="187"/>
        <v>0</v>
      </c>
      <c r="N1182"/>
      <c r="O1182" s="58"/>
      <c r="V1182" s="14" t="str">
        <f t="shared" si="189"/>
        <v/>
      </c>
      <c r="X1182" s="85">
        <f t="shared" si="188"/>
        <v>0</v>
      </c>
      <c r="Y1182" s="21" t="str">
        <f t="shared" si="190"/>
        <v/>
      </c>
      <c r="AA1182" s="55">
        <f t="shared" si="191"/>
        <v>0</v>
      </c>
      <c r="AB1182" s="55">
        <f t="shared" si="192"/>
        <v>0</v>
      </c>
      <c r="AC1182" s="55">
        <f t="shared" si="194"/>
        <v>0</v>
      </c>
    </row>
    <row r="1183" spans="1:29">
      <c r="A1183" t="s">
        <v>14</v>
      </c>
      <c r="B1183" s="16" t="str">
        <f>INDEX(emprunts!C:C,MATCH($A1183,emprunts!A:A,0))</f>
        <v>CDC</v>
      </c>
      <c r="C1183" s="18">
        <f>INDEX(emprunts!M:M,MATCH($A1183,emprunts!$A:$A,0))</f>
        <v>37006</v>
      </c>
      <c r="D1183" s="18">
        <f>IF(INDEX(emprunts!O:O,MATCH($A1183,emprunts!$A:$A,0))="",INDEX(emprunts!N:N,MATCH($A1183,emprunts!$A:$A,0)),MIN(INDEX(emprunts!N:N,MATCH($A1183,emprunts!$A:$A,0)),INDEX(emprunts!O:O,MATCH($A1183,emprunts!$A:$A,0))))</f>
        <v>38102</v>
      </c>
      <c r="E1183" s="52">
        <f>INDEX(emprunts!I:I,MATCH($A1183,emprunts!$A:$A,0))</f>
        <v>3</v>
      </c>
      <c r="F1183" s="18" t="str">
        <f>INDEX(emprunts!P:P,MATCH($A1183,emprunts!$A:$A,0))</f>
        <v>Fixe</v>
      </c>
      <c r="G1183" s="126" t="str">
        <f>IF(LEFT(A1183,3)="vx_","vx",INDEX(Categorie,MATCH($A1183,emprunts!$A$2:$A$149,0)))</f>
        <v>Non_st</v>
      </c>
      <c r="H1183">
        <v>2017</v>
      </c>
      <c r="I1183">
        <f t="shared" si="187"/>
        <v>1</v>
      </c>
      <c r="N1183"/>
      <c r="O1183" s="58"/>
      <c r="Q1183" s="58"/>
      <c r="R1183" s="58"/>
      <c r="S1183" s="58"/>
      <c r="T1183" s="58"/>
      <c r="U1183" s="58"/>
      <c r="V1183" s="14" t="str">
        <f t="shared" si="189"/>
        <v/>
      </c>
      <c r="W1183" s="77"/>
      <c r="X1183" s="85">
        <f t="shared" si="188"/>
        <v>0</v>
      </c>
      <c r="Y1183" s="21" t="str">
        <f t="shared" si="190"/>
        <v/>
      </c>
      <c r="AA1183" s="55">
        <f t="shared" si="191"/>
        <v>0</v>
      </c>
      <c r="AB1183" s="55">
        <f t="shared" si="192"/>
        <v>0</v>
      </c>
      <c r="AC1183" s="55">
        <f t="shared" si="194"/>
        <v>0</v>
      </c>
    </row>
    <row r="1184" spans="1:29">
      <c r="A1184" t="s">
        <v>22</v>
      </c>
      <c r="B1184" s="16" t="str">
        <f>INDEX(emprunts!C:C,MATCH($A1184,emprunts!A:A,0))</f>
        <v>Dexia CL</v>
      </c>
      <c r="C1184" s="18">
        <f>INDEX(emprunts!M:M,MATCH($A1184,emprunts!$A:$A,0))</f>
        <v>37221</v>
      </c>
      <c r="D1184" s="18">
        <f>IF(INDEX(emprunts!O:O,MATCH($A1184,emprunts!$A:$A,0))="",INDEX(emprunts!N:N,MATCH($A1184,emprunts!$A:$A,0)),MIN(INDEX(emprunts!N:N,MATCH($A1184,emprunts!$A:$A,0)),INDEX(emprunts!O:O,MATCH($A1184,emprunts!$A:$A,0))))</f>
        <v>38777</v>
      </c>
      <c r="E1184" s="52">
        <f>INDEX(emprunts!I:I,MATCH($A1184,emprunts!$A:$A,0))</f>
        <v>20</v>
      </c>
      <c r="F1184" s="18" t="str">
        <f>INDEX(emprunts!P:P,MATCH($A1184,emprunts!$A:$A,0))</f>
        <v>Annulable</v>
      </c>
      <c r="G1184" s="126" t="str">
        <f>IF(LEFT(A1184,3)="vx_","vx",INDEX(Categorie,MATCH($A1184,emprunts!$A$2:$A$149,0)))</f>
        <v>Struct</v>
      </c>
      <c r="H1184">
        <v>2017</v>
      </c>
      <c r="I1184">
        <f t="shared" si="187"/>
        <v>1</v>
      </c>
      <c r="N1184"/>
      <c r="O1184" s="58"/>
      <c r="Q1184" s="58"/>
      <c r="R1184" s="58"/>
      <c r="S1184" s="58"/>
      <c r="T1184" s="58"/>
      <c r="U1184" s="58"/>
      <c r="V1184" s="14" t="str">
        <f t="shared" si="189"/>
        <v/>
      </c>
      <c r="W1184" s="77"/>
      <c r="X1184" s="85">
        <f t="shared" si="188"/>
        <v>0</v>
      </c>
      <c r="Y1184" s="21" t="str">
        <f t="shared" si="190"/>
        <v/>
      </c>
      <c r="AA1184" s="55">
        <f t="shared" si="191"/>
        <v>0</v>
      </c>
      <c r="AB1184" s="55">
        <f t="shared" si="192"/>
        <v>0</v>
      </c>
      <c r="AC1184" s="55">
        <f t="shared" si="194"/>
        <v>0</v>
      </c>
    </row>
    <row r="1185" spans="1:29">
      <c r="A1185" t="s">
        <v>26</v>
      </c>
      <c r="B1185" s="16" t="str">
        <f>INDEX(emprunts!C:C,MATCH($A1185,emprunts!A:A,0))</f>
        <v>CDC</v>
      </c>
      <c r="C1185" s="18">
        <f>INDEX(emprunts!M:M,MATCH($A1185,emprunts!$A:$A,0))</f>
        <v>37281</v>
      </c>
      <c r="D1185" s="18">
        <f>IF(INDEX(emprunts!O:O,MATCH($A1185,emprunts!$A:$A,0))="",INDEX(emprunts!N:N,MATCH($A1185,emprunts!$A:$A,0)),MIN(INDEX(emprunts!N:N,MATCH($A1185,emprunts!$A:$A,0)),INDEX(emprunts!O:O,MATCH($A1185,emprunts!$A:$A,0))))</f>
        <v>39838</v>
      </c>
      <c r="E1185" s="52">
        <f>INDEX(emprunts!I:I,MATCH($A1185,emprunts!$A:$A,0))</f>
        <v>7</v>
      </c>
      <c r="F1185" s="18" t="str">
        <f>INDEX(emprunts!P:P,MATCH($A1185,emprunts!$A:$A,0))</f>
        <v>Fixe</v>
      </c>
      <c r="G1185" s="126" t="str">
        <f>IF(LEFT(A1185,3)="vx_","vx",INDEX(Categorie,MATCH($A1185,emprunts!$A$2:$A$149,0)))</f>
        <v>Non_st</v>
      </c>
      <c r="H1185">
        <v>2017</v>
      </c>
      <c r="I1185">
        <f t="shared" si="187"/>
        <v>1</v>
      </c>
      <c r="N1185"/>
      <c r="O1185" s="58"/>
      <c r="Q1185" s="58"/>
      <c r="R1185" s="58"/>
      <c r="S1185" s="58"/>
      <c r="T1185" s="58"/>
      <c r="U1185" s="58"/>
      <c r="V1185" s="14" t="str">
        <f t="shared" si="189"/>
        <v/>
      </c>
      <c r="W1185" s="77"/>
      <c r="X1185" s="85">
        <f t="shared" si="188"/>
        <v>0</v>
      </c>
      <c r="Y1185" s="21" t="str">
        <f t="shared" si="190"/>
        <v/>
      </c>
      <c r="AA1185" s="55">
        <f t="shared" si="191"/>
        <v>0</v>
      </c>
      <c r="AB1185" s="55">
        <f t="shared" si="192"/>
        <v>0</v>
      </c>
      <c r="AC1185" s="55">
        <f t="shared" si="194"/>
        <v>0</v>
      </c>
    </row>
    <row r="1186" spans="1:29">
      <c r="A1186" t="s">
        <v>28</v>
      </c>
      <c r="B1186" s="16" t="str">
        <f>INDEX(emprunts!C:C,MATCH($A1186,emprunts!A:A,0))</f>
        <v>CDC</v>
      </c>
      <c r="C1186" s="18">
        <f>INDEX(emprunts!M:M,MATCH($A1186,emprunts!$A:$A,0))</f>
        <v>37288</v>
      </c>
      <c r="D1186" s="18">
        <f>IF(INDEX(emprunts!O:O,MATCH($A1186,emprunts!$A:$A,0))="",INDEX(emprunts!N:N,MATCH($A1186,emprunts!$A:$A,0)),MIN(INDEX(emprunts!N:N,MATCH($A1186,emprunts!$A:$A,0)),INDEX(emprunts!O:O,MATCH($A1186,emprunts!$A:$A,0))))</f>
        <v>44593</v>
      </c>
      <c r="E1186" s="52">
        <f>INDEX(emprunts!I:I,MATCH($A1186,emprunts!$A:$A,0))</f>
        <v>20</v>
      </c>
      <c r="F1186" s="18" t="str">
        <f>INDEX(emprunts!P:P,MATCH($A1186,emprunts!$A:$A,0))</f>
        <v>Livret A</v>
      </c>
      <c r="G1186" s="126" t="str">
        <f>IF(LEFT(A1186,3)="vx_","vx",INDEX(Categorie,MATCH($A1186,emprunts!$A$2:$A$149,0)))</f>
        <v>Livr_A</v>
      </c>
      <c r="H1186">
        <v>2017</v>
      </c>
      <c r="I1186">
        <f t="shared" si="187"/>
        <v>1</v>
      </c>
      <c r="L1186" s="5">
        <v>37653</v>
      </c>
      <c r="M1186" s="5">
        <v>37653</v>
      </c>
      <c r="N1186" s="14">
        <v>2137796</v>
      </c>
      <c r="O1186" s="58">
        <v>621400</v>
      </c>
      <c r="P1186" s="4">
        <v>7.4999999999999997E-3</v>
      </c>
      <c r="Q1186" s="58">
        <v>5571.89</v>
      </c>
      <c r="R1186" s="58">
        <v>121518.44</v>
      </c>
      <c r="S1186" s="58"/>
      <c r="T1186" s="58">
        <v>4259.18</v>
      </c>
      <c r="U1186" s="58">
        <f>SUM(Q1186:S1186)</f>
        <v>127090.33</v>
      </c>
      <c r="V1186" s="14">
        <f t="shared" si="189"/>
        <v>0</v>
      </c>
      <c r="W1186" s="77"/>
      <c r="X1186" s="85">
        <f t="shared" si="188"/>
        <v>0</v>
      </c>
      <c r="Y1186" s="21">
        <f t="shared" si="190"/>
        <v>6.9661144150835862E-3</v>
      </c>
      <c r="AA1186" s="55">
        <f t="shared" si="191"/>
        <v>4738.9799999999996</v>
      </c>
      <c r="AB1186" s="55">
        <f t="shared" si="192"/>
        <v>-0.56000000005587935</v>
      </c>
      <c r="AC1186" s="55">
        <f t="shared" si="194"/>
        <v>680290.29063013697</v>
      </c>
    </row>
    <row r="1187" spans="1:29">
      <c r="A1187" t="s">
        <v>31</v>
      </c>
      <c r="B1187" s="16" t="str">
        <f>INDEX(emprunts!C:C,MATCH($A1187,emprunts!A:A,0))</f>
        <v>CDC</v>
      </c>
      <c r="C1187" s="18">
        <f>INDEX(emprunts!M:M,MATCH($A1187,emprunts!$A:$A,0))</f>
        <v>37347</v>
      </c>
      <c r="D1187" s="18">
        <f>IF(INDEX(emprunts!O:O,MATCH($A1187,emprunts!$A:$A,0))="",INDEX(emprunts!N:N,MATCH($A1187,emprunts!$A:$A,0)),MIN(INDEX(emprunts!N:N,MATCH($A1187,emprunts!$A:$A,0)),INDEX(emprunts!O:O,MATCH($A1187,emprunts!$A:$A,0))))</f>
        <v>44652</v>
      </c>
      <c r="E1187" s="52">
        <f>INDEX(emprunts!I:I,MATCH($A1187,emprunts!$A:$A,0))</f>
        <v>20</v>
      </c>
      <c r="F1187" s="18" t="str">
        <f>INDEX(emprunts!P:P,MATCH($A1187,emprunts!$A:$A,0))</f>
        <v>Livret A</v>
      </c>
      <c r="G1187" s="126" t="str">
        <f>IF(LEFT(A1187,3)="vx_","vx",INDEX(Categorie,MATCH($A1187,emprunts!$A$2:$A$149,0)))</f>
        <v>Livr_A</v>
      </c>
      <c r="H1187">
        <v>2017</v>
      </c>
      <c r="I1187">
        <f t="shared" si="187"/>
        <v>1</v>
      </c>
      <c r="N1187"/>
      <c r="O1187" s="58"/>
      <c r="P1187" s="4"/>
      <c r="Q1187" s="58"/>
      <c r="R1187" s="58"/>
      <c r="S1187" s="58"/>
      <c r="T1187" s="58"/>
      <c r="U1187" s="58"/>
      <c r="V1187" s="14" t="str">
        <f t="shared" si="189"/>
        <v/>
      </c>
      <c r="W1187" s="77"/>
      <c r="X1187" s="85">
        <f t="shared" si="188"/>
        <v>0</v>
      </c>
      <c r="Y1187" s="21" t="str">
        <f t="shared" si="190"/>
        <v/>
      </c>
      <c r="AA1187" s="55">
        <f t="shared" si="191"/>
        <v>0</v>
      </c>
      <c r="AB1187" s="55">
        <f t="shared" si="192"/>
        <v>0</v>
      </c>
      <c r="AC1187" s="55">
        <f t="shared" si="194"/>
        <v>0</v>
      </c>
    </row>
    <row r="1188" spans="1:29">
      <c r="A1188" t="s">
        <v>33</v>
      </c>
      <c r="B1188" s="16" t="str">
        <f>INDEX(emprunts!C:C,MATCH($A1188,emprunts!A:A,0))</f>
        <v>Crédit Agricole</v>
      </c>
      <c r="C1188" s="18">
        <f>INDEX(emprunts!M:M,MATCH($A1188,emprunts!$A:$A,0))</f>
        <v>37361</v>
      </c>
      <c r="D1188" s="18">
        <f>IF(INDEX(emprunts!O:O,MATCH($A1188,emprunts!$A:$A,0))="",INDEX(emprunts!N:N,MATCH($A1188,emprunts!$A:$A,0)),MIN(INDEX(emprunts!N:N,MATCH($A1188,emprunts!$A:$A,0)),INDEX(emprunts!O:O,MATCH($A1188,emprunts!$A:$A,0))))</f>
        <v>42843</v>
      </c>
      <c r="E1188" s="52">
        <f>INDEX(emprunts!I:I,MATCH($A1188,emprunts!$A:$A,0))</f>
        <v>15</v>
      </c>
      <c r="F1188" s="18" t="str">
        <f>INDEX(emprunts!P:P,MATCH($A1188,emprunts!$A:$A,0))</f>
        <v>Barrière hors zone EUR</v>
      </c>
      <c r="G1188" s="126" t="str">
        <f>IF(LEFT(A1188,3)="vx_","vx",INDEX(Categorie,MATCH($A1188,emprunts!$A$2:$A$149,0)))</f>
        <v>Struct</v>
      </c>
      <c r="H1188">
        <v>2017</v>
      </c>
      <c r="I1188">
        <f t="shared" si="187"/>
        <v>1</v>
      </c>
      <c r="N1188"/>
      <c r="O1188" s="58">
        <v>0</v>
      </c>
      <c r="P1188" s="4">
        <v>0</v>
      </c>
      <c r="Q1188" s="58">
        <v>0</v>
      </c>
      <c r="R1188" s="58">
        <v>1098703.1200000001</v>
      </c>
      <c r="S1188" s="58"/>
      <c r="T1188" s="58"/>
      <c r="U1188" s="58">
        <f>SUM(Q1188:S1188)</f>
        <v>1098703.1200000001</v>
      </c>
      <c r="V1188" s="14">
        <f t="shared" si="189"/>
        <v>0</v>
      </c>
      <c r="W1188" s="77"/>
      <c r="X1188" s="85">
        <f t="shared" si="188"/>
        <v>0</v>
      </c>
      <c r="Y1188" s="21" t="str">
        <f t="shared" si="190"/>
        <v/>
      </c>
      <c r="AA1188" s="55">
        <f t="shared" si="191"/>
        <v>0</v>
      </c>
      <c r="AB1188" s="55">
        <f t="shared" si="192"/>
        <v>-89.879999999888241</v>
      </c>
      <c r="AC1188" s="55">
        <f t="shared" si="194"/>
        <v>161042.7860821918</v>
      </c>
    </row>
    <row r="1189" spans="1:29">
      <c r="A1189" t="s">
        <v>38</v>
      </c>
      <c r="B1189" s="16" t="str">
        <f>INDEX(emprunts!C:C,MATCH($A1189,emprunts!A:A,0))</f>
        <v>Dexia CL</v>
      </c>
      <c r="C1189" s="18">
        <f>INDEX(emprunts!M:M,MATCH($A1189,emprunts!$A:$A,0))</f>
        <v>37377</v>
      </c>
      <c r="D1189" s="18">
        <f>IF(INDEX(emprunts!O:O,MATCH($A1189,emprunts!$A:$A,0))="",INDEX(emprunts!N:N,MATCH($A1189,emprunts!$A:$A,0)),MIN(INDEX(emprunts!N:N,MATCH($A1189,emprunts!$A:$A,0)),INDEX(emprunts!O:O,MATCH($A1189,emprunts!$A:$A,0))))</f>
        <v>38087</v>
      </c>
      <c r="E1189" s="52">
        <f>INDEX(emprunts!I:I,MATCH($A1189,emprunts!$A:$A,0))</f>
        <v>17</v>
      </c>
      <c r="F1189" s="18" t="str">
        <f>INDEX(emprunts!P:P,MATCH($A1189,emprunts!$A:$A,0))</f>
        <v>Barrière</v>
      </c>
      <c r="G1189" s="126" t="str">
        <f>IF(LEFT(A1189,3)="vx_","vx",INDEX(Categorie,MATCH($A1189,emprunts!$A$2:$A$149,0)))</f>
        <v>Struct</v>
      </c>
      <c r="H1189">
        <v>2017</v>
      </c>
      <c r="I1189">
        <f t="shared" si="187"/>
        <v>1</v>
      </c>
      <c r="N1189"/>
      <c r="O1189" s="58"/>
      <c r="Q1189" s="58"/>
      <c r="R1189" s="58"/>
      <c r="S1189" s="58"/>
      <c r="T1189" s="58"/>
      <c r="U1189" s="58"/>
      <c r="V1189" s="14" t="str">
        <f t="shared" si="189"/>
        <v/>
      </c>
      <c r="W1189" s="77"/>
      <c r="X1189" s="85">
        <f t="shared" si="188"/>
        <v>0</v>
      </c>
      <c r="Y1189" s="21" t="str">
        <f t="shared" si="190"/>
        <v/>
      </c>
      <c r="AA1189" s="55">
        <f t="shared" si="191"/>
        <v>0</v>
      </c>
      <c r="AB1189" s="55">
        <f t="shared" si="192"/>
        <v>0</v>
      </c>
      <c r="AC1189" s="55">
        <f t="shared" si="194"/>
        <v>0</v>
      </c>
    </row>
    <row r="1190" spans="1:29">
      <c r="A1190" t="s">
        <v>43</v>
      </c>
      <c r="B1190" s="16" t="str">
        <f>INDEX(emprunts!C:C,MATCH($A1190,emprunts!A:A,0))</f>
        <v>Dexia CL</v>
      </c>
      <c r="C1190" s="18">
        <f>INDEX(emprunts!M:M,MATCH($A1190,emprunts!$A:$A,0))</f>
        <v>37377</v>
      </c>
      <c r="D1190" s="18">
        <f>IF(INDEX(emprunts!O:O,MATCH($A1190,emprunts!$A:$A,0))="",INDEX(emprunts!N:N,MATCH($A1190,emprunts!$A:$A,0)),MIN(INDEX(emprunts!N:N,MATCH($A1190,emprunts!$A:$A,0)),INDEX(emprunts!O:O,MATCH($A1190,emprunts!$A:$A,0))))</f>
        <v>38534</v>
      </c>
      <c r="E1190" s="52">
        <f>INDEX(emprunts!I:I,MATCH($A1190,emprunts!$A:$A,0))</f>
        <v>19.25</v>
      </c>
      <c r="F1190" s="18" t="str">
        <f>INDEX(emprunts!P:P,MATCH($A1190,emprunts!$A:$A,0))</f>
        <v>Barrière hors zone EUR</v>
      </c>
      <c r="G1190" s="126" t="str">
        <f>IF(LEFT(A1190,3)="vx_","vx",INDEX(Categorie,MATCH($A1190,emprunts!$A$2:$A$149,0)))</f>
        <v>Struct</v>
      </c>
      <c r="H1190">
        <v>2017</v>
      </c>
      <c r="I1190">
        <f t="shared" si="187"/>
        <v>1</v>
      </c>
      <c r="N1190"/>
      <c r="O1190" s="58"/>
      <c r="Q1190" s="58"/>
      <c r="R1190" s="58"/>
      <c r="S1190" s="58"/>
      <c r="T1190" s="58"/>
      <c r="U1190" s="58"/>
      <c r="V1190" s="14" t="str">
        <f t="shared" si="189"/>
        <v/>
      </c>
      <c r="W1190" s="77"/>
      <c r="X1190" s="85">
        <f t="shared" si="188"/>
        <v>0</v>
      </c>
      <c r="Y1190" s="21" t="str">
        <f t="shared" si="190"/>
        <v/>
      </c>
      <c r="AA1190" s="55">
        <f t="shared" si="191"/>
        <v>0</v>
      </c>
      <c r="AB1190" s="55">
        <f t="shared" si="192"/>
        <v>0</v>
      </c>
      <c r="AC1190" s="55">
        <f t="shared" si="194"/>
        <v>0</v>
      </c>
    </row>
    <row r="1191" spans="1:29">
      <c r="A1191" t="s">
        <v>46</v>
      </c>
      <c r="B1191" s="16" t="str">
        <f>INDEX(emprunts!C:C,MATCH($A1191,emprunts!A:A,0))</f>
        <v>Dexia CL</v>
      </c>
      <c r="C1191" s="18">
        <f>INDEX(emprunts!M:M,MATCH($A1191,emprunts!$A:$A,0))</f>
        <v>37377</v>
      </c>
      <c r="D1191" s="18">
        <f>IF(INDEX(emprunts!O:O,MATCH($A1191,emprunts!$A:$A,0))="",INDEX(emprunts!N:N,MATCH($A1191,emprunts!$A:$A,0)),MIN(INDEX(emprunts!N:N,MATCH($A1191,emprunts!$A:$A,0)),INDEX(emprunts!O:O,MATCH($A1191,emprunts!$A:$A,0))))</f>
        <v>38087</v>
      </c>
      <c r="E1191" s="52">
        <f>INDEX(emprunts!I:I,MATCH($A1191,emprunts!$A:$A,0))</f>
        <v>19.25</v>
      </c>
      <c r="F1191" s="18" t="str">
        <f>INDEX(emprunts!P:P,MATCH($A1191,emprunts!$A:$A,0))</f>
        <v>Barrière hors zone EUR</v>
      </c>
      <c r="G1191" s="126" t="str">
        <f>IF(LEFT(A1191,3)="vx_","vx",INDEX(Categorie,MATCH($A1191,emprunts!$A$2:$A$149,0)))</f>
        <v>Struct</v>
      </c>
      <c r="H1191">
        <v>2017</v>
      </c>
      <c r="I1191">
        <f t="shared" si="187"/>
        <v>1</v>
      </c>
      <c r="N1191"/>
      <c r="O1191" s="58"/>
      <c r="Q1191" s="58"/>
      <c r="R1191" s="58"/>
      <c r="S1191" s="58"/>
      <c r="T1191" s="58"/>
      <c r="U1191" s="58"/>
      <c r="V1191" s="14" t="str">
        <f t="shared" si="189"/>
        <v/>
      </c>
      <c r="W1191" s="77"/>
      <c r="X1191" s="85">
        <f t="shared" si="188"/>
        <v>0</v>
      </c>
      <c r="Y1191" s="21" t="str">
        <f t="shared" si="190"/>
        <v/>
      </c>
      <c r="AA1191" s="55">
        <f t="shared" si="191"/>
        <v>0</v>
      </c>
      <c r="AB1191" s="55">
        <f t="shared" si="192"/>
        <v>0</v>
      </c>
      <c r="AC1191" s="55">
        <f t="shared" si="194"/>
        <v>0</v>
      </c>
    </row>
    <row r="1192" spans="1:29">
      <c r="A1192" t="s">
        <v>51</v>
      </c>
      <c r="B1192" s="16" t="str">
        <f>INDEX(emprunts!C:C,MATCH($A1192,emprunts!A:A,0))</f>
        <v>Dexia CL</v>
      </c>
      <c r="C1192" s="18">
        <f>INDEX(emprunts!M:M,MATCH($A1192,emprunts!$A:$A,0))</f>
        <v>37377</v>
      </c>
      <c r="D1192" s="18">
        <f>IF(INDEX(emprunts!O:O,MATCH($A1192,emprunts!$A:$A,0))="",INDEX(emprunts!N:N,MATCH($A1192,emprunts!$A:$A,0)),MIN(INDEX(emprunts!N:N,MATCH($A1192,emprunts!$A:$A,0)),INDEX(emprunts!O:O,MATCH($A1192,emprunts!$A:$A,0))))</f>
        <v>38193</v>
      </c>
      <c r="E1192" s="52">
        <f>INDEX(emprunts!I:I,MATCH($A1192,emprunts!$A:$A,0))</f>
        <v>8</v>
      </c>
      <c r="F1192" s="18" t="str">
        <f>INDEX(emprunts!P:P,MATCH($A1192,emprunts!$A:$A,0))</f>
        <v>Variable hors zone EUR</v>
      </c>
      <c r="G1192" s="126" t="str">
        <f>IF(LEFT(A1192,3)="vx_","vx",INDEX(Categorie,MATCH($A1192,emprunts!$A$2:$A$149,0)))</f>
        <v>Struct</v>
      </c>
      <c r="H1192">
        <v>2017</v>
      </c>
      <c r="I1192">
        <f t="shared" si="187"/>
        <v>1</v>
      </c>
      <c r="N1192"/>
      <c r="O1192" s="58"/>
      <c r="Q1192" s="58"/>
      <c r="R1192" s="58"/>
      <c r="S1192" s="58"/>
      <c r="T1192" s="58"/>
      <c r="U1192" s="58"/>
      <c r="V1192" s="14" t="str">
        <f t="shared" si="189"/>
        <v/>
      </c>
      <c r="W1192" s="77"/>
      <c r="X1192" s="85">
        <f t="shared" si="188"/>
        <v>0</v>
      </c>
      <c r="Y1192" s="21" t="str">
        <f t="shared" si="190"/>
        <v/>
      </c>
      <c r="AA1192" s="55">
        <f t="shared" si="191"/>
        <v>0</v>
      </c>
      <c r="AB1192" s="55">
        <f t="shared" si="192"/>
        <v>0</v>
      </c>
      <c r="AC1192" s="55">
        <f t="shared" si="194"/>
        <v>0</v>
      </c>
    </row>
    <row r="1193" spans="1:29">
      <c r="A1193" t="s">
        <v>55</v>
      </c>
      <c r="B1193" s="16" t="str">
        <f>INDEX(emprunts!C:C,MATCH($A1193,emprunts!A:A,0))</f>
        <v>CDC</v>
      </c>
      <c r="C1193" s="18">
        <f>INDEX(emprunts!M:M,MATCH($A1193,emprunts!$A:$A,0))</f>
        <v>37530</v>
      </c>
      <c r="D1193" s="18">
        <f>IF(INDEX(emprunts!O:O,MATCH($A1193,emprunts!$A:$A,0))="",INDEX(emprunts!N:N,MATCH($A1193,emprunts!$A:$A,0)),MIN(INDEX(emprunts!N:N,MATCH($A1193,emprunts!$A:$A,0)),INDEX(emprunts!O:O,MATCH($A1193,emprunts!$A:$A,0))))</f>
        <v>37530</v>
      </c>
      <c r="E1193" s="52">
        <f>INDEX(emprunts!I:I,MATCH($A1193,emprunts!$A:$A,0))</f>
        <v>20</v>
      </c>
      <c r="F1193" s="18" t="str">
        <f>INDEX(emprunts!P:P,MATCH($A1193,emprunts!$A:$A,0))</f>
        <v>Livret A</v>
      </c>
      <c r="G1193" s="126" t="str">
        <f>IF(LEFT(A1193,3)="vx_","vx",INDEX(Categorie,MATCH($A1193,emprunts!$A$2:$A$149,0)))</f>
        <v>Livr_A</v>
      </c>
      <c r="H1193">
        <v>2017</v>
      </c>
      <c r="I1193">
        <f t="shared" si="187"/>
        <v>1</v>
      </c>
      <c r="N1193"/>
      <c r="O1193" s="58"/>
      <c r="Q1193" s="58"/>
      <c r="R1193" s="58"/>
      <c r="S1193" s="58"/>
      <c r="T1193" s="58"/>
      <c r="U1193" s="58"/>
      <c r="V1193" s="14" t="str">
        <f t="shared" si="189"/>
        <v/>
      </c>
      <c r="W1193" s="77"/>
      <c r="X1193" s="85">
        <f t="shared" si="188"/>
        <v>0</v>
      </c>
      <c r="Y1193" s="21" t="str">
        <f t="shared" si="190"/>
        <v/>
      </c>
      <c r="AA1193" s="55">
        <f t="shared" si="191"/>
        <v>0</v>
      </c>
      <c r="AB1193" s="55">
        <f t="shared" si="192"/>
        <v>0</v>
      </c>
      <c r="AC1193" s="55">
        <f t="shared" si="194"/>
        <v>0</v>
      </c>
    </row>
    <row r="1194" spans="1:29">
      <c r="A1194" t="s">
        <v>57</v>
      </c>
      <c r="B1194" s="16" t="str">
        <f>INDEX(emprunts!C:C,MATCH($A1194,emprunts!A:A,0))</f>
        <v>Dexia CL</v>
      </c>
      <c r="C1194" s="18">
        <f>INDEX(emprunts!M:M,MATCH($A1194,emprunts!$A:$A,0))</f>
        <v>37533</v>
      </c>
      <c r="D1194" s="18">
        <f>IF(INDEX(emprunts!O:O,MATCH($A1194,emprunts!$A:$A,0))="",INDEX(emprunts!N:N,MATCH($A1194,emprunts!$A:$A,0)),MIN(INDEX(emprunts!N:N,MATCH($A1194,emprunts!$A:$A,0)),INDEX(emprunts!O:O,MATCH($A1194,emprunts!$A:$A,0))))</f>
        <v>38193</v>
      </c>
      <c r="E1194" s="52">
        <f>INDEX(emprunts!I:I,MATCH($A1194,emprunts!$A:$A,0))</f>
        <v>20</v>
      </c>
      <c r="F1194" s="18" t="str">
        <f>INDEX(emprunts!P:P,MATCH($A1194,emprunts!$A:$A,0))</f>
        <v>Fixe</v>
      </c>
      <c r="G1194" s="126" t="str">
        <f>IF(LEFT(A1194,3)="vx_","vx",INDEX(Categorie,MATCH($A1194,emprunts!$A$2:$A$149,0)))</f>
        <v>Non_st</v>
      </c>
      <c r="H1194">
        <v>2017</v>
      </c>
      <c r="I1194">
        <f t="shared" si="187"/>
        <v>1</v>
      </c>
      <c r="N1194"/>
      <c r="O1194" s="58"/>
      <c r="Q1194" s="58"/>
      <c r="R1194" s="58"/>
      <c r="S1194" s="58"/>
      <c r="T1194" s="58"/>
      <c r="U1194" s="58"/>
      <c r="V1194" s="14" t="str">
        <f t="shared" si="189"/>
        <v/>
      </c>
      <c r="W1194" s="77"/>
      <c r="X1194" s="85">
        <f t="shared" si="188"/>
        <v>0</v>
      </c>
      <c r="Y1194" s="21" t="str">
        <f t="shared" si="190"/>
        <v/>
      </c>
      <c r="AA1194" s="55">
        <f t="shared" si="191"/>
        <v>0</v>
      </c>
      <c r="AB1194" s="55">
        <f t="shared" si="192"/>
        <v>0</v>
      </c>
      <c r="AC1194" s="55">
        <f t="shared" si="194"/>
        <v>0</v>
      </c>
    </row>
    <row r="1195" spans="1:29">
      <c r="A1195" t="s">
        <v>59</v>
      </c>
      <c r="B1195" s="16" t="str">
        <f>INDEX(emprunts!C:C,MATCH($A1195,emprunts!A:A,0))</f>
        <v>CDC</v>
      </c>
      <c r="C1195" s="18">
        <f>INDEX(emprunts!M:M,MATCH($A1195,emprunts!$A:$A,0))</f>
        <v>37621</v>
      </c>
      <c r="D1195" s="18">
        <f>IF(INDEX(emprunts!O:O,MATCH($A1195,emprunts!$A:$A,0))="",INDEX(emprunts!N:N,MATCH($A1195,emprunts!$A:$A,0)),MIN(INDEX(emprunts!N:N,MATCH($A1195,emprunts!$A:$A,0)),INDEX(emprunts!O:O,MATCH($A1195,emprunts!$A:$A,0))))</f>
        <v>44927</v>
      </c>
      <c r="E1195" s="52">
        <f>INDEX(emprunts!I:I,MATCH($A1195,emprunts!$A:$A,0))</f>
        <v>20</v>
      </c>
      <c r="F1195" s="18" t="str">
        <f>INDEX(emprunts!P:P,MATCH($A1195,emprunts!$A:$A,0))</f>
        <v>Livret A</v>
      </c>
      <c r="G1195" s="126" t="str">
        <f>IF(LEFT(A1195,3)="vx_","vx",INDEX(Categorie,MATCH($A1195,emprunts!$A$2:$A$149,0)))</f>
        <v>Livr_A</v>
      </c>
      <c r="H1195">
        <v>2017</v>
      </c>
      <c r="I1195">
        <f t="shared" si="187"/>
        <v>1</v>
      </c>
      <c r="N1195"/>
      <c r="O1195" s="58"/>
      <c r="Q1195" s="58"/>
      <c r="R1195" s="58"/>
      <c r="S1195" s="58"/>
      <c r="T1195" s="58"/>
      <c r="U1195" s="58"/>
      <c r="V1195" s="14" t="str">
        <f t="shared" si="189"/>
        <v/>
      </c>
      <c r="W1195" s="77"/>
      <c r="X1195" s="85">
        <f t="shared" si="188"/>
        <v>0</v>
      </c>
      <c r="Y1195" s="21" t="str">
        <f t="shared" si="190"/>
        <v/>
      </c>
      <c r="AA1195" s="55">
        <f t="shared" si="191"/>
        <v>0</v>
      </c>
      <c r="AB1195" s="55">
        <f t="shared" si="192"/>
        <v>0</v>
      </c>
      <c r="AC1195" s="55">
        <f t="shared" si="194"/>
        <v>0</v>
      </c>
    </row>
    <row r="1196" spans="1:29">
      <c r="A1196" t="s">
        <v>64</v>
      </c>
      <c r="B1196" s="16" t="str">
        <f>INDEX(emprunts!C:C,MATCH($A1196,emprunts!A:A,0))</f>
        <v>Dexia CL</v>
      </c>
      <c r="C1196" s="18">
        <f>INDEX(emprunts!M:M,MATCH($A1196,emprunts!$A:$A,0))</f>
        <v>37681</v>
      </c>
      <c r="D1196" s="18">
        <f>IF(INDEX(emprunts!O:O,MATCH($A1196,emprunts!$A:$A,0))="",INDEX(emprunts!N:N,MATCH($A1196,emprunts!$A:$A,0)),MIN(INDEX(emprunts!N:N,MATCH($A1196,emprunts!$A:$A,0)),INDEX(emprunts!O:O,MATCH($A1196,emprunts!$A:$A,0))))</f>
        <v>38443</v>
      </c>
      <c r="E1196" s="52">
        <f>INDEX(emprunts!I:I,MATCH($A1196,emprunts!$A:$A,0))</f>
        <v>15</v>
      </c>
      <c r="F1196" s="18" t="str">
        <f>INDEX(emprunts!P:P,MATCH($A1196,emprunts!$A:$A,0))</f>
        <v>Barrière</v>
      </c>
      <c r="G1196" s="126" t="str">
        <f>IF(LEFT(A1196,3)="vx_","vx",INDEX(Categorie,MATCH($A1196,emprunts!$A$2:$A$149,0)))</f>
        <v>Struct</v>
      </c>
      <c r="H1196">
        <v>2017</v>
      </c>
      <c r="I1196">
        <f t="shared" si="187"/>
        <v>1</v>
      </c>
      <c r="N1196"/>
      <c r="O1196" s="58"/>
      <c r="Q1196" s="58"/>
      <c r="R1196" s="58"/>
      <c r="S1196" s="58"/>
      <c r="T1196" s="58"/>
      <c r="U1196" s="58"/>
      <c r="V1196" s="14" t="str">
        <f t="shared" si="189"/>
        <v/>
      </c>
      <c r="W1196" s="77"/>
      <c r="X1196" s="85">
        <f t="shared" si="188"/>
        <v>0</v>
      </c>
      <c r="Y1196" s="21" t="str">
        <f t="shared" si="190"/>
        <v/>
      </c>
      <c r="AA1196" s="55">
        <f t="shared" si="191"/>
        <v>0</v>
      </c>
      <c r="AB1196" s="55">
        <f t="shared" si="192"/>
        <v>0</v>
      </c>
      <c r="AC1196" s="55">
        <f t="shared" si="194"/>
        <v>0</v>
      </c>
    </row>
    <row r="1197" spans="1:29">
      <c r="A1197" t="s">
        <v>71</v>
      </c>
      <c r="B1197" s="16" t="str">
        <f>INDEX(emprunts!C:C,MATCH($A1197,emprunts!A:A,0))</f>
        <v>Dexia CL</v>
      </c>
      <c r="C1197" s="18">
        <f>INDEX(emprunts!M:M,MATCH($A1197,emprunts!$A:$A,0))</f>
        <v>37742</v>
      </c>
      <c r="D1197" s="18">
        <f>IF(INDEX(emprunts!O:O,MATCH($A1197,emprunts!$A:$A,0))="",INDEX(emprunts!N:N,MATCH($A1197,emprunts!$A:$A,0)),MIN(INDEX(emprunts!N:N,MATCH($A1197,emprunts!$A:$A,0)),INDEX(emprunts!O:O,MATCH($A1197,emprunts!$A:$A,0))))</f>
        <v>38443</v>
      </c>
      <c r="E1197" s="52">
        <f>INDEX(emprunts!I:I,MATCH($A1197,emprunts!$A:$A,0))</f>
        <v>8</v>
      </c>
      <c r="F1197" s="18" t="str">
        <f>INDEX(emprunts!P:P,MATCH($A1197,emprunts!$A:$A,0))</f>
        <v>Barrière</v>
      </c>
      <c r="G1197" s="126" t="str">
        <f>IF(LEFT(A1197,3)="vx_","vx",INDEX(Categorie,MATCH($A1197,emprunts!$A$2:$A$149,0)))</f>
        <v>Struct</v>
      </c>
      <c r="H1197">
        <v>2017</v>
      </c>
      <c r="I1197">
        <f t="shared" si="187"/>
        <v>1</v>
      </c>
      <c r="N1197"/>
      <c r="O1197" s="58"/>
      <c r="Q1197" s="58"/>
      <c r="R1197" s="58"/>
      <c r="S1197" s="58"/>
      <c r="T1197" s="58"/>
      <c r="U1197" s="58"/>
      <c r="V1197" s="14" t="str">
        <f t="shared" si="189"/>
        <v/>
      </c>
      <c r="W1197" s="77"/>
      <c r="X1197" s="85">
        <f t="shared" si="188"/>
        <v>0</v>
      </c>
      <c r="Y1197" s="21" t="str">
        <f t="shared" si="190"/>
        <v/>
      </c>
      <c r="AA1197" s="55">
        <f t="shared" si="191"/>
        <v>0</v>
      </c>
      <c r="AB1197" s="55">
        <f t="shared" si="192"/>
        <v>0</v>
      </c>
      <c r="AC1197" s="55">
        <f t="shared" si="194"/>
        <v>0</v>
      </c>
    </row>
    <row r="1198" spans="1:29">
      <c r="A1198" t="s">
        <v>78</v>
      </c>
      <c r="B1198" s="16" t="str">
        <f>INDEX(emprunts!C:C,MATCH($A1198,emprunts!A:A,0))</f>
        <v>Dexia CL</v>
      </c>
      <c r="C1198" s="18">
        <f>INDEX(emprunts!M:M,MATCH($A1198,emprunts!$A:$A,0))</f>
        <v>37772</v>
      </c>
      <c r="D1198" s="18">
        <f>IF(INDEX(emprunts!O:O,MATCH($A1198,emprunts!$A:$A,0))="",INDEX(emprunts!N:N,MATCH($A1198,emprunts!$A:$A,0)),MIN(INDEX(emprunts!N:N,MATCH($A1198,emprunts!$A:$A,0)),INDEX(emprunts!O:O,MATCH($A1198,emprunts!$A:$A,0))))</f>
        <v>38443</v>
      </c>
      <c r="E1198" s="52">
        <f>INDEX(emprunts!I:I,MATCH($A1198,emprunts!$A:$A,0))</f>
        <v>20</v>
      </c>
      <c r="F1198" s="18" t="str">
        <f>INDEX(emprunts!P:P,MATCH($A1198,emprunts!$A:$A,0))</f>
        <v>Barrière</v>
      </c>
      <c r="G1198" s="126" t="str">
        <f>IF(LEFT(A1198,3)="vx_","vx",INDEX(Categorie,MATCH($A1198,emprunts!$A$2:$A$149,0)))</f>
        <v>Struct</v>
      </c>
      <c r="H1198">
        <v>2017</v>
      </c>
      <c r="I1198">
        <f t="shared" si="187"/>
        <v>1</v>
      </c>
      <c r="N1198"/>
      <c r="O1198" s="58"/>
      <c r="Q1198" s="58"/>
      <c r="R1198" s="58"/>
      <c r="S1198" s="58"/>
      <c r="T1198" s="58"/>
      <c r="U1198" s="58"/>
      <c r="V1198" s="14" t="str">
        <f t="shared" si="189"/>
        <v/>
      </c>
      <c r="W1198" s="77"/>
      <c r="X1198" s="85">
        <f t="shared" si="188"/>
        <v>0</v>
      </c>
      <c r="Y1198" s="21" t="str">
        <f t="shared" si="190"/>
        <v/>
      </c>
      <c r="AA1198" s="55">
        <f t="shared" si="191"/>
        <v>0</v>
      </c>
      <c r="AB1198" s="55">
        <f t="shared" si="192"/>
        <v>0</v>
      </c>
      <c r="AC1198" s="55">
        <f t="shared" si="194"/>
        <v>0</v>
      </c>
    </row>
    <row r="1199" spans="1:29">
      <c r="A1199" t="s">
        <v>79</v>
      </c>
      <c r="B1199" s="16" t="str">
        <f>INDEX(emprunts!C:C,MATCH($A1199,emprunts!A:A,0))</f>
        <v>Caisse d'Épargne</v>
      </c>
      <c r="C1199" s="18">
        <f>INDEX(emprunts!M:M,MATCH($A1199,emprunts!$A:$A,0))</f>
        <v>37803</v>
      </c>
      <c r="D1199" s="18">
        <f>IF(INDEX(emprunts!O:O,MATCH($A1199,emprunts!$A:$A,0))="",INDEX(emprunts!N:N,MATCH($A1199,emprunts!$A:$A,0)),MIN(INDEX(emprunts!N:N,MATCH($A1199,emprunts!$A:$A,0)),INDEX(emprunts!O:O,MATCH($A1199,emprunts!$A:$A,0))))</f>
        <v>38773</v>
      </c>
      <c r="E1199" s="52">
        <f>INDEX(emprunts!I:I,MATCH($A1199,emprunts!$A:$A,0))</f>
        <v>20</v>
      </c>
      <c r="F1199" s="18" t="str">
        <f>INDEX(emprunts!P:P,MATCH($A1199,emprunts!$A:$A,0))</f>
        <v>Barrière hors zone EUR</v>
      </c>
      <c r="G1199" s="126" t="str">
        <f>IF(LEFT(A1199,3)="vx_","vx",INDEX(Categorie,MATCH($A1199,emprunts!$A$2:$A$149,0)))</f>
        <v>Struct</v>
      </c>
      <c r="H1199">
        <v>2017</v>
      </c>
      <c r="I1199">
        <f t="shared" si="187"/>
        <v>1</v>
      </c>
      <c r="N1199"/>
      <c r="O1199" s="58"/>
      <c r="Q1199" s="58"/>
      <c r="R1199" s="58"/>
      <c r="S1199" s="58"/>
      <c r="T1199" s="58"/>
      <c r="U1199" s="58"/>
      <c r="V1199" s="14" t="str">
        <f t="shared" si="189"/>
        <v/>
      </c>
      <c r="W1199" s="77"/>
      <c r="X1199" s="85">
        <f t="shared" si="188"/>
        <v>0</v>
      </c>
      <c r="Y1199" s="21" t="str">
        <f t="shared" si="190"/>
        <v/>
      </c>
      <c r="AA1199" s="55">
        <f t="shared" si="191"/>
        <v>0</v>
      </c>
      <c r="AB1199" s="55">
        <f t="shared" si="192"/>
        <v>0</v>
      </c>
      <c r="AC1199" s="55">
        <f t="shared" si="194"/>
        <v>0</v>
      </c>
    </row>
    <row r="1200" spans="1:29">
      <c r="A1200" t="s">
        <v>84</v>
      </c>
      <c r="B1200" s="16" t="str">
        <f>INDEX(emprunts!C:C,MATCH($A1200,emprunts!A:A,0))</f>
        <v>Caisse d'Épargne</v>
      </c>
      <c r="C1200" s="18">
        <f>INDEX(emprunts!M:M,MATCH($A1200,emprunts!$A:$A,0))</f>
        <v>37865</v>
      </c>
      <c r="D1200" s="18">
        <f>IF(INDEX(emprunts!O:O,MATCH($A1200,emprunts!$A:$A,0))="",INDEX(emprunts!N:N,MATCH($A1200,emprunts!$A:$A,0)),MIN(INDEX(emprunts!N:N,MATCH($A1200,emprunts!$A:$A,0)),INDEX(emprunts!O:O,MATCH($A1200,emprunts!$A:$A,0))))</f>
        <v>38961</v>
      </c>
      <c r="E1200" s="52">
        <f>INDEX(emprunts!I:I,MATCH($A1200,emprunts!$A:$A,0))</f>
        <v>3</v>
      </c>
      <c r="F1200" s="18" t="str">
        <f>INDEX(emprunts!P:P,MATCH($A1200,emprunts!$A:$A,0))</f>
        <v>Fixe</v>
      </c>
      <c r="G1200" s="126" t="str">
        <f>IF(LEFT(A1200,3)="vx_","vx",INDEX(Categorie,MATCH($A1200,emprunts!$A$2:$A$149,0)))</f>
        <v>Non_st</v>
      </c>
      <c r="H1200">
        <v>2017</v>
      </c>
      <c r="I1200">
        <f t="shared" ref="I1200:I1251" si="195">1*(C1200&lt;DATE(H1200,12,31))</f>
        <v>1</v>
      </c>
      <c r="N1200"/>
      <c r="O1200" s="58"/>
      <c r="Q1200" s="58"/>
      <c r="R1200" s="58"/>
      <c r="S1200" s="58"/>
      <c r="T1200" s="58"/>
      <c r="U1200" s="58"/>
      <c r="V1200" s="14" t="str">
        <f t="shared" si="189"/>
        <v/>
      </c>
      <c r="W1200" s="77"/>
      <c r="X1200" s="85">
        <f t="shared" ref="X1200:X1251" si="196">SUMPRODUCT((De=$A1200)*(année_refi=$H1200),Montant_transfere)</f>
        <v>0</v>
      </c>
      <c r="Y1200" s="21" t="str">
        <f t="shared" si="190"/>
        <v/>
      </c>
      <c r="AA1200" s="55">
        <f t="shared" si="191"/>
        <v>0</v>
      </c>
      <c r="AB1200" s="55">
        <f t="shared" si="192"/>
        <v>0</v>
      </c>
      <c r="AC1200" s="55">
        <f t="shared" si="194"/>
        <v>0</v>
      </c>
    </row>
    <row r="1201" spans="1:29">
      <c r="A1201" t="s">
        <v>86</v>
      </c>
      <c r="B1201" s="16" t="str">
        <f>INDEX(emprunts!C:C,MATCH($A1201,emprunts!A:A,0))</f>
        <v>Caisse d'Épargne</v>
      </c>
      <c r="C1201" s="18">
        <f>INDEX(emprunts!M:M,MATCH($A1201,emprunts!$A:$A,0))</f>
        <v>38022</v>
      </c>
      <c r="D1201" s="18">
        <f>IF(INDEX(emprunts!O:O,MATCH($A1201,emprunts!$A:$A,0))="",INDEX(emprunts!N:N,MATCH($A1201,emprunts!$A:$A,0)),MIN(INDEX(emprunts!N:N,MATCH($A1201,emprunts!$A:$A,0)),INDEX(emprunts!O:O,MATCH($A1201,emprunts!$A:$A,0))))</f>
        <v>40719</v>
      </c>
      <c r="E1201" s="52">
        <f>INDEX(emprunts!I:I,MATCH($A1201,emprunts!$A:$A,0))</f>
        <v>7</v>
      </c>
      <c r="F1201" s="18" t="str">
        <f>INDEX(emprunts!P:P,MATCH($A1201,emprunts!$A:$A,0))</f>
        <v>Fixe</v>
      </c>
      <c r="G1201" s="126" t="str">
        <f>IF(LEFT(A1201,3)="vx_","vx",INDEX(Categorie,MATCH($A1201,emprunts!$A$2:$A$149,0)))</f>
        <v>Non_st</v>
      </c>
      <c r="H1201">
        <v>2017</v>
      </c>
      <c r="I1201">
        <f t="shared" si="195"/>
        <v>1</v>
      </c>
      <c r="N1201"/>
      <c r="O1201" s="58"/>
      <c r="Q1201" s="58"/>
      <c r="R1201" s="58"/>
      <c r="S1201" s="58"/>
      <c r="T1201" s="58"/>
      <c r="U1201" s="58"/>
      <c r="V1201" s="14" t="str">
        <f t="shared" si="189"/>
        <v/>
      </c>
      <c r="W1201" s="77"/>
      <c r="X1201" s="85">
        <f t="shared" si="196"/>
        <v>0</v>
      </c>
      <c r="Y1201" s="21" t="str">
        <f t="shared" si="190"/>
        <v/>
      </c>
      <c r="AA1201" s="55">
        <f t="shared" si="191"/>
        <v>0</v>
      </c>
      <c r="AB1201" s="55">
        <f t="shared" si="192"/>
        <v>0</v>
      </c>
      <c r="AC1201" s="55">
        <f t="shared" si="194"/>
        <v>0</v>
      </c>
    </row>
    <row r="1202" spans="1:29">
      <c r="A1202" t="s">
        <v>88</v>
      </c>
      <c r="B1202" s="16" t="str">
        <f>INDEX(emprunts!C:C,MATCH($A1202,emprunts!A:A,0))</f>
        <v>Dexia CL</v>
      </c>
      <c r="C1202" s="18">
        <f>INDEX(emprunts!M:M,MATCH($A1202,emprunts!$A:$A,0))</f>
        <v>38077</v>
      </c>
      <c r="D1202" s="18">
        <f>IF(INDEX(emprunts!O:O,MATCH($A1202,emprunts!$A:$A,0))="",INDEX(emprunts!N:N,MATCH($A1202,emprunts!$A:$A,0)),MIN(INDEX(emprunts!N:N,MATCH($A1202,emprunts!$A:$A,0)),INDEX(emprunts!O:O,MATCH($A1202,emprunts!$A:$A,0))))</f>
        <v>39173</v>
      </c>
      <c r="E1202" s="52">
        <f>INDEX(emprunts!I:I,MATCH($A1202,emprunts!$A:$A,0))</f>
        <v>3</v>
      </c>
      <c r="F1202" s="18" t="str">
        <f>INDEX(emprunts!P:P,MATCH($A1202,emprunts!$A:$A,0))</f>
        <v>Fixe</v>
      </c>
      <c r="G1202" s="126" t="str">
        <f>IF(LEFT(A1202,3)="vx_","vx",INDEX(Categorie,MATCH($A1202,emprunts!$A$2:$A$149,0)))</f>
        <v>Non_st</v>
      </c>
      <c r="H1202">
        <v>2017</v>
      </c>
      <c r="I1202">
        <f t="shared" si="195"/>
        <v>1</v>
      </c>
      <c r="N1202"/>
      <c r="O1202" s="58"/>
      <c r="Q1202" s="58"/>
      <c r="R1202" s="58"/>
      <c r="S1202" s="58"/>
      <c r="T1202" s="58"/>
      <c r="U1202" s="58"/>
      <c r="V1202" s="14" t="str">
        <f t="shared" si="189"/>
        <v/>
      </c>
      <c r="W1202" s="77"/>
      <c r="X1202" s="85">
        <f t="shared" si="196"/>
        <v>0</v>
      </c>
      <c r="Y1202" s="21" t="str">
        <f t="shared" si="190"/>
        <v/>
      </c>
      <c r="AA1202" s="55">
        <f t="shared" si="191"/>
        <v>0</v>
      </c>
      <c r="AB1202" s="55">
        <f t="shared" si="192"/>
        <v>0</v>
      </c>
      <c r="AC1202" s="55">
        <f t="shared" si="194"/>
        <v>0</v>
      </c>
    </row>
    <row r="1203" spans="1:29">
      <c r="A1203" t="s">
        <v>90</v>
      </c>
      <c r="B1203" s="16" t="str">
        <f>INDEX(emprunts!C:C,MATCH($A1203,emprunts!A:A,0))</f>
        <v>Dexia CL</v>
      </c>
      <c r="C1203" s="18">
        <f>INDEX(emprunts!M:M,MATCH($A1203,emprunts!$A:$A,0))</f>
        <v>38087</v>
      </c>
      <c r="D1203" s="18">
        <f>IF(INDEX(emprunts!O:O,MATCH($A1203,emprunts!$A:$A,0))="",INDEX(emprunts!N:N,MATCH($A1203,emprunts!$A:$A,0)),MIN(INDEX(emprunts!N:N,MATCH($A1203,emprunts!$A:$A,0)),INDEX(emprunts!O:O,MATCH($A1203,emprunts!$A:$A,0))))</f>
        <v>38687</v>
      </c>
      <c r="E1203" s="52">
        <f>INDEX(emprunts!I:I,MATCH($A1203,emprunts!$A:$A,0))</f>
        <v>17.75</v>
      </c>
      <c r="F1203" s="18" t="str">
        <f>INDEX(emprunts!P:P,MATCH($A1203,emprunts!$A:$A,0))</f>
        <v>Barrière avec multiplicateur</v>
      </c>
      <c r="G1203" s="126" t="str">
        <f>IF(LEFT(A1203,3)="vx_","vx",INDEX(Categorie,MATCH($A1203,emprunts!$A$2:$A$149,0)))</f>
        <v>Struct</v>
      </c>
      <c r="H1203">
        <v>2017</v>
      </c>
      <c r="I1203">
        <f t="shared" si="195"/>
        <v>1</v>
      </c>
      <c r="N1203"/>
      <c r="O1203" s="58"/>
      <c r="Q1203" s="58"/>
      <c r="R1203" s="58"/>
      <c r="S1203" s="58"/>
      <c r="T1203" s="58"/>
      <c r="U1203" s="58"/>
      <c r="V1203" s="14" t="str">
        <f t="shared" si="189"/>
        <v/>
      </c>
      <c r="W1203" s="77"/>
      <c r="X1203" s="85">
        <f t="shared" si="196"/>
        <v>0</v>
      </c>
      <c r="Y1203" s="21" t="str">
        <f t="shared" ref="Y1203:Y1260" si="197">IF(AND(AA1203&gt;0,YEAR(C1203)&lt;=H1203),AA1203/AC1203,"")</f>
        <v/>
      </c>
      <c r="AA1203" s="55">
        <f t="shared" si="191"/>
        <v>0</v>
      </c>
      <c r="AB1203" s="55">
        <f t="shared" si="192"/>
        <v>0</v>
      </c>
      <c r="AC1203" s="55">
        <f t="shared" si="194"/>
        <v>0</v>
      </c>
    </row>
    <row r="1204" spans="1:29">
      <c r="A1204" t="s">
        <v>96</v>
      </c>
      <c r="B1204" s="16" t="str">
        <f>INDEX(emprunts!C:C,MATCH($A1204,emprunts!A:A,0))</f>
        <v>Dexia CL</v>
      </c>
      <c r="C1204" s="18">
        <f>INDEX(emprunts!M:M,MATCH($A1204,emprunts!$A:$A,0))</f>
        <v>38087</v>
      </c>
      <c r="D1204" s="18">
        <f>IF(INDEX(emprunts!O:O,MATCH($A1204,emprunts!$A:$A,0))="",INDEX(emprunts!N:N,MATCH($A1204,emprunts!$A:$A,0)),MIN(INDEX(emprunts!N:N,MATCH($A1204,emprunts!$A:$A,0)),INDEX(emprunts!O:O,MATCH($A1204,emprunts!$A:$A,0))))</f>
        <v>38534</v>
      </c>
      <c r="E1204" s="52">
        <f>INDEX(emprunts!I:I,MATCH($A1204,emprunts!$A:$A,0))</f>
        <v>15</v>
      </c>
      <c r="F1204" s="18" t="str">
        <f>INDEX(emprunts!P:P,MATCH($A1204,emprunts!$A:$A,0))</f>
        <v>Barrière hors zone EUR</v>
      </c>
      <c r="G1204" s="126" t="str">
        <f>IF(LEFT(A1204,3)="vx_","vx",INDEX(Categorie,MATCH($A1204,emprunts!$A$2:$A$149,0)))</f>
        <v>Struct</v>
      </c>
      <c r="H1204">
        <v>2017</v>
      </c>
      <c r="I1204">
        <f t="shared" si="195"/>
        <v>1</v>
      </c>
      <c r="N1204"/>
      <c r="O1204" s="58"/>
      <c r="Q1204" s="58"/>
      <c r="R1204" s="58"/>
      <c r="S1204" s="58"/>
      <c r="T1204" s="58"/>
      <c r="U1204" s="58"/>
      <c r="V1204" s="14" t="str">
        <f t="shared" ref="V1204:V1262" si="198">IF(U1204="","",U1204-SUM(Q1204:S1204))</f>
        <v/>
      </c>
      <c r="W1204" s="77"/>
      <c r="X1204" s="85">
        <f t="shared" si="196"/>
        <v>0</v>
      </c>
      <c r="Y1204" s="21" t="str">
        <f t="shared" si="197"/>
        <v/>
      </c>
      <c r="AA1204" s="55">
        <f t="shared" si="191"/>
        <v>0</v>
      </c>
      <c r="AB1204" s="55">
        <f t="shared" si="192"/>
        <v>0</v>
      </c>
      <c r="AC1204" s="55">
        <f t="shared" si="194"/>
        <v>0</v>
      </c>
    </row>
    <row r="1205" spans="1:29">
      <c r="A1205" t="s">
        <v>98</v>
      </c>
      <c r="B1205" s="16" t="str">
        <f>INDEX(emprunts!C:C,MATCH($A1205,emprunts!A:A,0))</f>
        <v>Dexia CL</v>
      </c>
      <c r="C1205" s="18">
        <f>INDEX(emprunts!M:M,MATCH($A1205,emprunts!$A:$A,0))</f>
        <v>38092</v>
      </c>
      <c r="D1205" s="18">
        <f>IF(INDEX(emprunts!O:O,MATCH($A1205,emprunts!$A:$A,0))="",INDEX(emprunts!N:N,MATCH($A1205,emprunts!$A:$A,0)),MIN(INDEX(emprunts!N:N,MATCH($A1205,emprunts!$A:$A,0)),INDEX(emprunts!O:O,MATCH($A1205,emprunts!$A:$A,0))))</f>
        <v>38443</v>
      </c>
      <c r="E1205" s="52">
        <f>INDEX(emprunts!I:I,MATCH($A1205,emprunts!$A:$A,0))</f>
        <v>15</v>
      </c>
      <c r="F1205" s="18" t="str">
        <f>INDEX(emprunts!P:P,MATCH($A1205,emprunts!$A:$A,0))</f>
        <v>Variable hors zone EUR</v>
      </c>
      <c r="G1205" s="126" t="str">
        <f>IF(LEFT(A1205,3)="vx_","vx",INDEX(Categorie,MATCH($A1205,emprunts!$A$2:$A$149,0)))</f>
        <v>Struct</v>
      </c>
      <c r="H1205">
        <v>2017</v>
      </c>
      <c r="I1205">
        <f t="shared" si="195"/>
        <v>1</v>
      </c>
      <c r="N1205"/>
      <c r="O1205" s="58"/>
      <c r="Q1205" s="58"/>
      <c r="R1205" s="58"/>
      <c r="S1205" s="58"/>
      <c r="T1205" s="58"/>
      <c r="U1205" s="58"/>
      <c r="V1205" s="14" t="str">
        <f t="shared" si="198"/>
        <v/>
      </c>
      <c r="W1205" s="77"/>
      <c r="X1205" s="85">
        <f t="shared" si="196"/>
        <v>0</v>
      </c>
      <c r="Y1205" s="21" t="str">
        <f t="shared" si="197"/>
        <v/>
      </c>
      <c r="AA1205" s="55">
        <f t="shared" si="191"/>
        <v>0</v>
      </c>
      <c r="AB1205" s="55">
        <f t="shared" si="192"/>
        <v>0</v>
      </c>
      <c r="AC1205" s="55">
        <f t="shared" si="194"/>
        <v>0</v>
      </c>
    </row>
    <row r="1206" spans="1:29">
      <c r="A1206" t="s">
        <v>101</v>
      </c>
      <c r="B1206" s="16" t="str">
        <f>INDEX(emprunts!C:C,MATCH($A1206,emprunts!A:A,0))</f>
        <v>Dexia CL</v>
      </c>
      <c r="C1206" s="18">
        <f>INDEX(emprunts!M:M,MATCH($A1206,emprunts!$A:$A,0))</f>
        <v>38106</v>
      </c>
      <c r="D1206" s="18">
        <f>IF(INDEX(emprunts!O:O,MATCH($A1206,emprunts!$A:$A,0))="",INDEX(emprunts!N:N,MATCH($A1206,emprunts!$A:$A,0)),MIN(INDEX(emprunts!N:N,MATCH($A1206,emprunts!$A:$A,0)),INDEX(emprunts!O:O,MATCH($A1206,emprunts!$A:$A,0))))</f>
        <v>39203</v>
      </c>
      <c r="E1206" s="52">
        <f>INDEX(emprunts!I:I,MATCH($A1206,emprunts!$A:$A,0))</f>
        <v>21</v>
      </c>
      <c r="F1206" s="18" t="str">
        <f>INDEX(emprunts!P:P,MATCH($A1206,emprunts!$A:$A,0))</f>
        <v>Barrière</v>
      </c>
      <c r="G1206" s="126" t="str">
        <f>IF(LEFT(A1206,3)="vx_","vx",INDEX(Categorie,MATCH($A1206,emprunts!$A$2:$A$149,0)))</f>
        <v>Struct</v>
      </c>
      <c r="H1206">
        <v>2017</v>
      </c>
      <c r="I1206">
        <f t="shared" si="195"/>
        <v>1</v>
      </c>
      <c r="N1206"/>
      <c r="O1206" s="58"/>
      <c r="Q1206" s="58"/>
      <c r="R1206" s="58"/>
      <c r="S1206" s="58"/>
      <c r="T1206" s="58"/>
      <c r="U1206" s="58"/>
      <c r="V1206" s="14" t="str">
        <f t="shared" si="198"/>
        <v/>
      </c>
      <c r="W1206" s="77"/>
      <c r="X1206" s="85">
        <f t="shared" si="196"/>
        <v>0</v>
      </c>
      <c r="Y1206" s="21" t="str">
        <f t="shared" si="197"/>
        <v/>
      </c>
      <c r="AA1206" s="55">
        <f t="shared" si="191"/>
        <v>0</v>
      </c>
      <c r="AB1206" s="55">
        <f t="shared" si="192"/>
        <v>0</v>
      </c>
      <c r="AC1206" s="55">
        <f t="shared" si="194"/>
        <v>0</v>
      </c>
    </row>
    <row r="1207" spans="1:29">
      <c r="A1207" t="s">
        <v>105</v>
      </c>
      <c r="B1207" s="16" t="str">
        <f>INDEX(emprunts!C:C,MATCH($A1207,emprunts!A:A,0))</f>
        <v>Dexia CL</v>
      </c>
      <c r="C1207" s="18">
        <f>INDEX(emprunts!M:M,MATCH($A1207,emprunts!$A:$A,0))</f>
        <v>38153</v>
      </c>
      <c r="D1207" s="18">
        <f>IF(INDEX(emprunts!O:O,MATCH($A1207,emprunts!$A:$A,0))="",INDEX(emprunts!N:N,MATCH($A1207,emprunts!$A:$A,0)),MIN(INDEX(emprunts!N:N,MATCH($A1207,emprunts!$A:$A,0)),INDEX(emprunts!O:O,MATCH($A1207,emprunts!$A:$A,0))))</f>
        <v>38384</v>
      </c>
      <c r="E1207" s="52">
        <f>INDEX(emprunts!I:I,MATCH($A1207,emprunts!$A:$A,0))</f>
        <v>10</v>
      </c>
      <c r="F1207" s="18" t="str">
        <f>INDEX(emprunts!P:P,MATCH($A1207,emprunts!$A:$A,0))</f>
        <v>Change</v>
      </c>
      <c r="G1207" s="126" t="str">
        <f>IF(LEFT(A1207,3)="vx_","vx",INDEX(Categorie,MATCH($A1207,emprunts!$A$2:$A$149,0)))</f>
        <v>Struct</v>
      </c>
      <c r="H1207">
        <v>2017</v>
      </c>
      <c r="I1207">
        <f t="shared" si="195"/>
        <v>1</v>
      </c>
      <c r="N1207"/>
      <c r="O1207" s="58"/>
      <c r="Q1207" s="58"/>
      <c r="R1207" s="58"/>
      <c r="S1207" s="58"/>
      <c r="T1207" s="58"/>
      <c r="U1207" s="58"/>
      <c r="V1207" s="14" t="str">
        <f t="shared" si="198"/>
        <v/>
      </c>
      <c r="W1207" s="77"/>
      <c r="X1207" s="85">
        <f t="shared" si="196"/>
        <v>0</v>
      </c>
      <c r="Y1207" s="21" t="str">
        <f t="shared" si="197"/>
        <v/>
      </c>
      <c r="AA1207" s="55">
        <f t="shared" si="191"/>
        <v>0</v>
      </c>
      <c r="AB1207" s="55">
        <f t="shared" si="192"/>
        <v>0</v>
      </c>
      <c r="AC1207" s="55">
        <f t="shared" si="194"/>
        <v>0</v>
      </c>
    </row>
    <row r="1208" spans="1:29">
      <c r="A1208" t="s">
        <v>108</v>
      </c>
      <c r="B1208" s="16" t="str">
        <f>INDEX(emprunts!C:C,MATCH($A1208,emprunts!A:A,0))</f>
        <v>Dexia CL</v>
      </c>
      <c r="C1208" s="18">
        <f>INDEX(emprunts!M:M,MATCH($A1208,emprunts!$A:$A,0))</f>
        <v>38193</v>
      </c>
      <c r="D1208" s="18">
        <f>IF(INDEX(emprunts!O:O,MATCH($A1208,emprunts!$A:$A,0))="",INDEX(emprunts!N:N,MATCH($A1208,emprunts!$A:$A,0)),MIN(INDEX(emprunts!N:N,MATCH($A1208,emprunts!$A:$A,0)),INDEX(emprunts!O:O,MATCH($A1208,emprunts!$A:$A,0))))</f>
        <v>38777</v>
      </c>
      <c r="E1208" s="52">
        <f>INDEX(emprunts!I:I,MATCH($A1208,emprunts!$A:$A,0))</f>
        <v>18</v>
      </c>
      <c r="F1208" s="18" t="str">
        <f>INDEX(emprunts!P:P,MATCH($A1208,emprunts!$A:$A,0))</f>
        <v>Pente</v>
      </c>
      <c r="G1208" s="126" t="str">
        <f>IF(LEFT(A1208,3)="vx_","vx",INDEX(Categorie,MATCH($A1208,emprunts!$A$2:$A$149,0)))</f>
        <v>Struct</v>
      </c>
      <c r="H1208">
        <v>2017</v>
      </c>
      <c r="I1208">
        <f t="shared" si="195"/>
        <v>1</v>
      </c>
      <c r="N1208"/>
      <c r="O1208" s="58"/>
      <c r="Q1208" s="58"/>
      <c r="R1208" s="58"/>
      <c r="S1208" s="58"/>
      <c r="T1208" s="58"/>
      <c r="U1208" s="58"/>
      <c r="V1208" s="14" t="str">
        <f t="shared" si="198"/>
        <v/>
      </c>
      <c r="W1208" s="77"/>
      <c r="X1208" s="85">
        <f t="shared" si="196"/>
        <v>0</v>
      </c>
      <c r="Y1208" s="21" t="str">
        <f t="shared" si="197"/>
        <v/>
      </c>
      <c r="AA1208" s="55">
        <f t="shared" si="191"/>
        <v>0</v>
      </c>
      <c r="AB1208" s="55">
        <f t="shared" si="192"/>
        <v>0</v>
      </c>
      <c r="AC1208" s="55">
        <f t="shared" si="194"/>
        <v>0</v>
      </c>
    </row>
    <row r="1209" spans="1:29">
      <c r="A1209" t="s">
        <v>117</v>
      </c>
      <c r="B1209" s="16" t="str">
        <f>INDEX(emprunts!C:C,MATCH($A1209,emprunts!A:A,0))</f>
        <v>Dexia CL</v>
      </c>
      <c r="C1209" s="18">
        <f>INDEX(emprunts!M:M,MATCH($A1209,emprunts!$A:$A,0))</f>
        <v>38406</v>
      </c>
      <c r="D1209" s="18">
        <f>IF(INDEX(emprunts!O:O,MATCH($A1209,emprunts!$A:$A,0))="",INDEX(emprunts!N:N,MATCH($A1209,emprunts!$A:$A,0)),MIN(INDEX(emprunts!N:N,MATCH($A1209,emprunts!$A:$A,0)),INDEX(emprunts!O:O,MATCH($A1209,emprunts!$A:$A,0))))</f>
        <v>39114</v>
      </c>
      <c r="E1209" s="52">
        <f>INDEX(emprunts!I:I,MATCH($A1209,emprunts!$A:$A,0))</f>
        <v>17</v>
      </c>
      <c r="F1209" s="18" t="str">
        <f>INDEX(emprunts!P:P,MATCH($A1209,emprunts!$A:$A,0))</f>
        <v>Barrière avec multiplicateur</v>
      </c>
      <c r="G1209" s="126" t="str">
        <f>IF(LEFT(A1209,3)="vx_","vx",INDEX(Categorie,MATCH($A1209,emprunts!$A$2:$A$149,0)))</f>
        <v>Struct</v>
      </c>
      <c r="H1209">
        <v>2017</v>
      </c>
      <c r="I1209">
        <f t="shared" si="195"/>
        <v>1</v>
      </c>
      <c r="N1209"/>
      <c r="O1209" s="58"/>
      <c r="Q1209" s="58"/>
      <c r="R1209" s="58"/>
      <c r="S1209" s="58"/>
      <c r="T1209" s="58"/>
      <c r="U1209" s="58"/>
      <c r="V1209" s="14" t="str">
        <f t="shared" si="198"/>
        <v/>
      </c>
      <c r="W1209" s="77"/>
      <c r="X1209" s="85">
        <f t="shared" si="196"/>
        <v>0</v>
      </c>
      <c r="Y1209" s="21" t="str">
        <f t="shared" si="197"/>
        <v/>
      </c>
      <c r="AA1209" s="55">
        <f t="shared" si="191"/>
        <v>0</v>
      </c>
      <c r="AB1209" s="55">
        <f t="shared" si="192"/>
        <v>0</v>
      </c>
      <c r="AC1209" s="55">
        <f t="shared" si="194"/>
        <v>0</v>
      </c>
    </row>
    <row r="1210" spans="1:29">
      <c r="A1210" t="s">
        <v>121</v>
      </c>
      <c r="B1210" s="16" t="str">
        <f>INDEX(emprunts!C:C,MATCH($A1210,emprunts!A:A,0))</f>
        <v>Dexia CL</v>
      </c>
      <c r="C1210" s="18">
        <f>INDEX(emprunts!M:M,MATCH($A1210,emprunts!$A:$A,0))</f>
        <v>38406</v>
      </c>
      <c r="D1210" s="18">
        <f>IF(INDEX(emprunts!O:O,MATCH($A1210,emprunts!$A:$A,0))="",INDEX(emprunts!N:N,MATCH($A1210,emprunts!$A:$A,0)),MIN(INDEX(emprunts!N:N,MATCH($A1210,emprunts!$A:$A,0)),INDEX(emprunts!O:O,MATCH($A1210,emprunts!$A:$A,0))))</f>
        <v>39203</v>
      </c>
      <c r="E1210" s="52">
        <f>INDEX(emprunts!I:I,MATCH($A1210,emprunts!$A:$A,0))</f>
        <v>15</v>
      </c>
      <c r="F1210" s="18" t="str">
        <f>INDEX(emprunts!P:P,MATCH($A1210,emprunts!$A:$A,0))</f>
        <v>Variable hors zone EUR</v>
      </c>
      <c r="G1210" s="126" t="str">
        <f>IF(LEFT(A1210,3)="vx_","vx",INDEX(Categorie,MATCH($A1210,emprunts!$A$2:$A$149,0)))</f>
        <v>Struct</v>
      </c>
      <c r="H1210">
        <v>2017</v>
      </c>
      <c r="I1210">
        <f t="shared" si="195"/>
        <v>1</v>
      </c>
      <c r="N1210"/>
      <c r="O1210" s="58"/>
      <c r="Q1210" s="58"/>
      <c r="R1210" s="58"/>
      <c r="S1210" s="58"/>
      <c r="T1210" s="58"/>
      <c r="U1210" s="58"/>
      <c r="V1210" s="14" t="str">
        <f t="shared" si="198"/>
        <v/>
      </c>
      <c r="W1210" s="77"/>
      <c r="X1210" s="85">
        <f t="shared" si="196"/>
        <v>0</v>
      </c>
      <c r="Y1210" s="21" t="str">
        <f t="shared" si="197"/>
        <v/>
      </c>
      <c r="AA1210" s="55">
        <f t="shared" si="191"/>
        <v>0</v>
      </c>
      <c r="AB1210" s="55">
        <f t="shared" si="192"/>
        <v>0</v>
      </c>
      <c r="AC1210" s="55">
        <f t="shared" si="194"/>
        <v>0</v>
      </c>
    </row>
    <row r="1211" spans="1:29">
      <c r="A1211" t="s">
        <v>123</v>
      </c>
      <c r="B1211" s="16" t="str">
        <f>INDEX(emprunts!C:C,MATCH($A1211,emprunts!A:A,0))</f>
        <v>Crédit Mutuel</v>
      </c>
      <c r="C1211" s="18">
        <f>INDEX(emprunts!M:M,MATCH($A1211,emprunts!$A:$A,0))</f>
        <v>38435</v>
      </c>
      <c r="D1211" s="18">
        <f>IF(INDEX(emprunts!O:O,MATCH($A1211,emprunts!$A:$A,0))="",INDEX(emprunts!N:N,MATCH($A1211,emprunts!$A:$A,0)),MIN(INDEX(emprunts!N:N,MATCH($A1211,emprunts!$A:$A,0)),INDEX(emprunts!O:O,MATCH($A1211,emprunts!$A:$A,0))))</f>
        <v>40260</v>
      </c>
      <c r="E1211" s="52">
        <f>INDEX(emprunts!I:I,MATCH($A1211,emprunts!$A:$A,0))</f>
        <v>5</v>
      </c>
      <c r="F1211" s="18" t="str">
        <f>INDEX(emprunts!P:P,MATCH($A1211,emprunts!$A:$A,0))</f>
        <v>Fixe</v>
      </c>
      <c r="G1211" s="126" t="str">
        <f>IF(LEFT(A1211,3)="vx_","vx",INDEX(Categorie,MATCH($A1211,emprunts!$A$2:$A$149,0)))</f>
        <v>Non_st</v>
      </c>
      <c r="H1211">
        <v>2017</v>
      </c>
      <c r="I1211">
        <f t="shared" si="195"/>
        <v>1</v>
      </c>
      <c r="N1211"/>
      <c r="O1211" s="58"/>
      <c r="Q1211" s="58"/>
      <c r="R1211" s="58"/>
      <c r="S1211" s="58"/>
      <c r="T1211" s="58"/>
      <c r="U1211" s="58"/>
      <c r="V1211" s="14" t="str">
        <f t="shared" si="198"/>
        <v/>
      </c>
      <c r="W1211" s="77"/>
      <c r="X1211" s="85">
        <f t="shared" si="196"/>
        <v>0</v>
      </c>
      <c r="Y1211" s="21" t="str">
        <f t="shared" si="197"/>
        <v/>
      </c>
      <c r="AA1211" s="55">
        <f t="shared" ref="AA1211:AA1274" si="199">T1211+Q1211+S1211-SUMPRODUCT(($A$123:$A$1367=$A1211)*($H$123:$H$1367=$H1211-1),$T$123:$T$1367)</f>
        <v>0</v>
      </c>
      <c r="AB1211" s="55">
        <f t="shared" ref="AB1211:AB1274" si="200">IF(YEAR(C1211)=H1211,"",O1211+R1211+X1211-W1211-SUMPRODUCT(($A$123:$A$1367=$A1211)*($H$123:$H$1367=$H1211-1),$O$123:$O$1367))</f>
        <v>0</v>
      </c>
      <c r="AC1211" s="55">
        <f t="shared" si="194"/>
        <v>0</v>
      </c>
    </row>
    <row r="1212" spans="1:29">
      <c r="A1212" t="s">
        <v>125</v>
      </c>
      <c r="B1212" s="16" t="str">
        <f>INDEX(emprunts!C:C,MATCH($A1212,emprunts!A:A,0))</f>
        <v>Dexia CL</v>
      </c>
      <c r="C1212" s="18">
        <f>INDEX(emprunts!M:M,MATCH($A1212,emprunts!$A:$A,0))</f>
        <v>38443</v>
      </c>
      <c r="D1212" s="18">
        <f>IF(INDEX(emprunts!O:O,MATCH($A1212,emprunts!$A:$A,0))="",INDEX(emprunts!N:N,MATCH($A1212,emprunts!$A:$A,0)),MIN(INDEX(emprunts!N:N,MATCH($A1212,emprunts!$A:$A,0)),INDEX(emprunts!O:O,MATCH($A1212,emprunts!$A:$A,0))))</f>
        <v>38899</v>
      </c>
      <c r="E1212" s="52">
        <f>INDEX(emprunts!I:I,MATCH($A1212,emprunts!$A:$A,0))</f>
        <v>19</v>
      </c>
      <c r="F1212" s="18" t="str">
        <f>INDEX(emprunts!P:P,MATCH($A1212,emprunts!$A:$A,0))</f>
        <v>Change</v>
      </c>
      <c r="G1212" s="126" t="str">
        <f>IF(LEFT(A1212,3)="vx_","vx",INDEX(Categorie,MATCH($A1212,emprunts!$A$2:$A$149,0)))</f>
        <v>Struct</v>
      </c>
      <c r="H1212">
        <v>2017</v>
      </c>
      <c r="I1212">
        <f t="shared" si="195"/>
        <v>1</v>
      </c>
      <c r="N1212"/>
      <c r="O1212" s="58"/>
      <c r="Q1212" s="58"/>
      <c r="R1212" s="58"/>
      <c r="S1212" s="58"/>
      <c r="T1212" s="58"/>
      <c r="U1212" s="58"/>
      <c r="V1212" s="14" t="str">
        <f t="shared" si="198"/>
        <v/>
      </c>
      <c r="W1212" s="77"/>
      <c r="X1212" s="85">
        <f t="shared" si="196"/>
        <v>0</v>
      </c>
      <c r="Y1212" s="21" t="str">
        <f t="shared" si="197"/>
        <v/>
      </c>
      <c r="AA1212" s="55">
        <f t="shared" si="199"/>
        <v>0</v>
      </c>
      <c r="AB1212" s="55">
        <f t="shared" si="200"/>
        <v>0</v>
      </c>
      <c r="AC1212" s="55">
        <f t="shared" si="194"/>
        <v>0</v>
      </c>
    </row>
    <row r="1213" spans="1:29">
      <c r="A1213" t="s">
        <v>180</v>
      </c>
      <c r="B1213" s="16" t="str">
        <f>INDEX(emprunts!C:C,MATCH($A1213,emprunts!A:A,0))</f>
        <v>Dexia CL</v>
      </c>
      <c r="C1213" s="18">
        <f>INDEX(emprunts!M:M,MATCH($A1213,emprunts!$A:$A,0))</f>
        <v>38443</v>
      </c>
      <c r="D1213" s="18">
        <f>IF(INDEX(emprunts!O:O,MATCH($A1213,emprunts!$A:$A,0))="",INDEX(emprunts!N:N,MATCH($A1213,emprunts!$A:$A,0)),MIN(INDEX(emprunts!N:N,MATCH($A1213,emprunts!$A:$A,0)),INDEX(emprunts!O:O,MATCH($A1213,emprunts!$A:$A,0))))</f>
        <v>39203</v>
      </c>
      <c r="E1213" s="52">
        <f>INDEX(emprunts!I:I,MATCH($A1213,emprunts!$A:$A,0))</f>
        <v>15</v>
      </c>
      <c r="F1213" s="18" t="str">
        <f>INDEX(emprunts!P:P,MATCH($A1213,emprunts!$A:$A,0))</f>
        <v>Change</v>
      </c>
      <c r="G1213" s="126" t="str">
        <f>IF(LEFT(A1213,3)="vx_","vx",INDEX(Categorie,MATCH($A1213,emprunts!$A$2:$A$149,0)))</f>
        <v>Struct</v>
      </c>
      <c r="H1213">
        <v>2017</v>
      </c>
      <c r="I1213">
        <f t="shared" si="195"/>
        <v>1</v>
      </c>
      <c r="N1213"/>
      <c r="O1213" s="58"/>
      <c r="Q1213" s="58"/>
      <c r="R1213" s="58"/>
      <c r="S1213" s="58"/>
      <c r="T1213" s="58"/>
      <c r="U1213" s="58"/>
      <c r="V1213" s="14" t="str">
        <f t="shared" si="198"/>
        <v/>
      </c>
      <c r="W1213" s="77"/>
      <c r="X1213" s="85">
        <f t="shared" si="196"/>
        <v>0</v>
      </c>
      <c r="Y1213" s="21" t="str">
        <f t="shared" si="197"/>
        <v/>
      </c>
      <c r="AA1213" s="55">
        <f t="shared" si="199"/>
        <v>0</v>
      </c>
      <c r="AB1213" s="55">
        <f t="shared" si="200"/>
        <v>0</v>
      </c>
      <c r="AC1213" s="55">
        <f t="shared" si="194"/>
        <v>0</v>
      </c>
    </row>
    <row r="1214" spans="1:29">
      <c r="A1214" t="s">
        <v>183</v>
      </c>
      <c r="B1214" s="16" t="str">
        <f>INDEX(emprunts!C:C,MATCH($A1214,emprunts!A:A,0))</f>
        <v>CDC</v>
      </c>
      <c r="C1214" s="18">
        <f>INDEX(emprunts!M:M,MATCH($A1214,emprunts!$A:$A,0))</f>
        <v>38473</v>
      </c>
      <c r="D1214" s="18">
        <f>IF(INDEX(emprunts!O:O,MATCH($A1214,emprunts!$A:$A,0))="",INDEX(emprunts!N:N,MATCH($A1214,emprunts!$A:$A,0)),MIN(INDEX(emprunts!N:N,MATCH($A1214,emprunts!$A:$A,0)),INDEX(emprunts!O:O,MATCH($A1214,emprunts!$A:$A,0))))</f>
        <v>40663</v>
      </c>
      <c r="E1214" s="52">
        <f>INDEX(emprunts!I:I,MATCH($A1214,emprunts!$A:$A,0))</f>
        <v>6</v>
      </c>
      <c r="F1214" s="18" t="str">
        <f>INDEX(emprunts!P:P,MATCH($A1214,emprunts!$A:$A,0))</f>
        <v>Variable</v>
      </c>
      <c r="G1214" s="126" t="str">
        <f>IF(LEFT(A1214,3)="vx_","vx",INDEX(Categorie,MATCH($A1214,emprunts!$A$2:$A$149,0)))</f>
        <v>Non_st</v>
      </c>
      <c r="H1214">
        <v>2017</v>
      </c>
      <c r="I1214">
        <f t="shared" si="195"/>
        <v>1</v>
      </c>
      <c r="N1214"/>
      <c r="O1214" s="58"/>
      <c r="Q1214" s="58"/>
      <c r="R1214" s="58"/>
      <c r="S1214" s="58"/>
      <c r="T1214" s="58"/>
      <c r="U1214" s="58"/>
      <c r="V1214" s="14" t="str">
        <f t="shared" si="198"/>
        <v/>
      </c>
      <c r="W1214" s="77"/>
      <c r="X1214" s="85">
        <f t="shared" si="196"/>
        <v>0</v>
      </c>
      <c r="Y1214" s="21" t="str">
        <f t="shared" si="197"/>
        <v/>
      </c>
      <c r="AA1214" s="55">
        <f t="shared" si="199"/>
        <v>0</v>
      </c>
      <c r="AB1214" s="55">
        <f t="shared" si="200"/>
        <v>0</v>
      </c>
      <c r="AC1214" s="55">
        <f t="shared" si="194"/>
        <v>0</v>
      </c>
    </row>
    <row r="1215" spans="1:29">
      <c r="A1215" t="s">
        <v>185</v>
      </c>
      <c r="B1215" s="16" t="str">
        <f>INDEX(emprunts!C:C,MATCH($A1215,emprunts!A:A,0))</f>
        <v>CDC</v>
      </c>
      <c r="C1215" s="18">
        <f>INDEX(emprunts!M:M,MATCH($A1215,emprunts!$A:$A,0))</f>
        <v>38473</v>
      </c>
      <c r="D1215" s="18">
        <f>IF(INDEX(emprunts!O:O,MATCH($A1215,emprunts!$A:$A,0))="",INDEX(emprunts!N:N,MATCH($A1215,emprunts!$A:$A,0)),MIN(INDEX(emprunts!N:N,MATCH($A1215,emprunts!$A:$A,0)),INDEX(emprunts!O:O,MATCH($A1215,emprunts!$A:$A,0))))</f>
        <v>41393</v>
      </c>
      <c r="E1215" s="52">
        <f>INDEX(emprunts!I:I,MATCH($A1215,emprunts!$A:$A,0))</f>
        <v>8</v>
      </c>
      <c r="F1215" s="18" t="str">
        <f>INDEX(emprunts!P:P,MATCH($A1215,emprunts!$A:$A,0))</f>
        <v>Variable</v>
      </c>
      <c r="G1215" s="126" t="str">
        <f>IF(LEFT(A1215,3)="vx_","vx",INDEX(Categorie,MATCH($A1215,emprunts!$A$2:$A$149,0)))</f>
        <v>Non_st</v>
      </c>
      <c r="H1215">
        <v>2017</v>
      </c>
      <c r="I1215">
        <f t="shared" si="195"/>
        <v>1</v>
      </c>
      <c r="N1215"/>
      <c r="O1215" s="58"/>
      <c r="Q1215" s="58"/>
      <c r="R1215" s="58"/>
      <c r="S1215" s="58"/>
      <c r="T1215" s="58"/>
      <c r="U1215" s="58"/>
      <c r="V1215" s="14" t="str">
        <f t="shared" si="198"/>
        <v/>
      </c>
      <c r="W1215" s="77"/>
      <c r="X1215" s="85">
        <f t="shared" si="196"/>
        <v>0</v>
      </c>
      <c r="Y1215" s="21" t="str">
        <f t="shared" si="197"/>
        <v/>
      </c>
      <c r="AA1215" s="55">
        <f t="shared" si="199"/>
        <v>0</v>
      </c>
      <c r="AB1215" s="55">
        <f t="shared" si="200"/>
        <v>0</v>
      </c>
      <c r="AC1215" s="55">
        <f t="shared" si="194"/>
        <v>0</v>
      </c>
    </row>
    <row r="1216" spans="1:29">
      <c r="A1216" t="s">
        <v>186</v>
      </c>
      <c r="B1216" s="16" t="str">
        <f>INDEX(emprunts!C:C,MATCH($A1216,emprunts!A:A,0))</f>
        <v>Dexia CL</v>
      </c>
      <c r="C1216" s="18">
        <f>INDEX(emprunts!M:M,MATCH($A1216,emprunts!$A:$A,0))</f>
        <v>38504</v>
      </c>
      <c r="D1216" s="18">
        <f>IF(INDEX(emprunts!O:O,MATCH($A1216,emprunts!$A:$A,0))="",INDEX(emprunts!N:N,MATCH($A1216,emprunts!$A:$A,0)),MIN(INDEX(emprunts!N:N,MATCH($A1216,emprunts!$A:$A,0)),INDEX(emprunts!O:O,MATCH($A1216,emprunts!$A:$A,0))))</f>
        <v>38805</v>
      </c>
      <c r="E1216" s="52">
        <f>INDEX(emprunts!I:I,MATCH($A1216,emprunts!$A:$A,0))</f>
        <v>17.25</v>
      </c>
      <c r="F1216" s="18" t="str">
        <f>INDEX(emprunts!P:P,MATCH($A1216,emprunts!$A:$A,0))</f>
        <v>Change</v>
      </c>
      <c r="G1216" s="126" t="str">
        <f>IF(LEFT(A1216,3)="vx_","vx",INDEX(Categorie,MATCH($A1216,emprunts!$A$2:$A$149,0)))</f>
        <v>Struct</v>
      </c>
      <c r="H1216">
        <v>2017</v>
      </c>
      <c r="I1216">
        <f t="shared" si="195"/>
        <v>1</v>
      </c>
      <c r="N1216"/>
      <c r="O1216" s="58"/>
      <c r="Q1216" s="58"/>
      <c r="R1216" s="58"/>
      <c r="S1216" s="58"/>
      <c r="T1216" s="58"/>
      <c r="U1216" s="58"/>
      <c r="V1216" s="14" t="str">
        <f t="shared" si="198"/>
        <v/>
      </c>
      <c r="W1216" s="77"/>
      <c r="X1216" s="85">
        <f t="shared" si="196"/>
        <v>0</v>
      </c>
      <c r="Y1216" s="21" t="str">
        <f t="shared" si="197"/>
        <v/>
      </c>
      <c r="AA1216" s="55">
        <f t="shared" si="199"/>
        <v>0</v>
      </c>
      <c r="AB1216" s="55">
        <f t="shared" si="200"/>
        <v>0</v>
      </c>
      <c r="AC1216" s="55">
        <f t="shared" si="194"/>
        <v>0</v>
      </c>
    </row>
    <row r="1217" spans="1:29">
      <c r="A1217" t="s">
        <v>187</v>
      </c>
      <c r="B1217" s="16" t="str">
        <f>INDEX(emprunts!C:C,MATCH($A1217,emprunts!A:A,0))</f>
        <v>Dexia CL</v>
      </c>
      <c r="C1217" s="18">
        <f>INDEX(emprunts!M:M,MATCH($A1217,emprunts!$A:$A,0))</f>
        <v>38534</v>
      </c>
      <c r="D1217" s="18">
        <f>IF(INDEX(emprunts!O:O,MATCH($A1217,emprunts!$A:$A,0))="",INDEX(emprunts!N:N,MATCH($A1217,emprunts!$A:$A,0)),MIN(INDEX(emprunts!N:N,MATCH($A1217,emprunts!$A:$A,0)),INDEX(emprunts!O:O,MATCH($A1217,emprunts!$A:$A,0))))</f>
        <v>38899</v>
      </c>
      <c r="E1217" s="52">
        <f>INDEX(emprunts!I:I,MATCH($A1217,emprunts!$A:$A,0))</f>
        <v>16</v>
      </c>
      <c r="F1217" s="18" t="str">
        <f>INDEX(emprunts!P:P,MATCH($A1217,emprunts!$A:$A,0))</f>
        <v>Pente</v>
      </c>
      <c r="G1217" s="126" t="str">
        <f>IF(LEFT(A1217,3)="vx_","vx",INDEX(Categorie,MATCH($A1217,emprunts!$A$2:$A$149,0)))</f>
        <v>Struct</v>
      </c>
      <c r="H1217">
        <v>2017</v>
      </c>
      <c r="I1217">
        <f t="shared" si="195"/>
        <v>1</v>
      </c>
      <c r="N1217"/>
      <c r="O1217" s="58"/>
      <c r="Q1217" s="58"/>
      <c r="R1217" s="58"/>
      <c r="S1217" s="58"/>
      <c r="T1217" s="58"/>
      <c r="U1217" s="58"/>
      <c r="V1217" s="14" t="str">
        <f t="shared" si="198"/>
        <v/>
      </c>
      <c r="W1217" s="77"/>
      <c r="X1217" s="85">
        <f t="shared" si="196"/>
        <v>0</v>
      </c>
      <c r="Y1217" s="21" t="str">
        <f t="shared" si="197"/>
        <v/>
      </c>
      <c r="AA1217" s="55">
        <f t="shared" si="199"/>
        <v>0</v>
      </c>
      <c r="AB1217" s="55">
        <f t="shared" si="200"/>
        <v>0</v>
      </c>
      <c r="AC1217" s="55">
        <f t="shared" si="194"/>
        <v>0</v>
      </c>
    </row>
    <row r="1218" spans="1:29">
      <c r="A1218" t="s">
        <v>193</v>
      </c>
      <c r="B1218" s="16" t="str">
        <f>INDEX(emprunts!C:C,MATCH($A1218,emprunts!A:A,0))</f>
        <v>Dexia CL</v>
      </c>
      <c r="C1218" s="18">
        <f>INDEX(emprunts!M:M,MATCH($A1218,emprunts!$A:$A,0))</f>
        <v>38687</v>
      </c>
      <c r="D1218" s="18">
        <f>IF(INDEX(emprunts!O:O,MATCH($A1218,emprunts!$A:$A,0))="",INDEX(emprunts!N:N,MATCH($A1218,emprunts!$A:$A,0)),MIN(INDEX(emprunts!N:N,MATCH($A1218,emprunts!$A:$A,0)),INDEX(emprunts!O:O,MATCH($A1218,emprunts!$A:$A,0))))</f>
        <v>38805</v>
      </c>
      <c r="E1218" s="52">
        <f>INDEX(emprunts!I:I,MATCH($A1218,emprunts!$A:$A,0))</f>
        <v>16</v>
      </c>
      <c r="F1218" s="18" t="str">
        <f>INDEX(emprunts!P:P,MATCH($A1218,emprunts!$A:$A,0))</f>
        <v>Pente</v>
      </c>
      <c r="G1218" s="126" t="str">
        <f>IF(LEFT(A1218,3)="vx_","vx",INDEX(Categorie,MATCH($A1218,emprunts!$A$2:$A$149,0)))</f>
        <v>Struct</v>
      </c>
      <c r="H1218">
        <v>2017</v>
      </c>
      <c r="I1218">
        <f t="shared" si="195"/>
        <v>1</v>
      </c>
      <c r="N1218"/>
      <c r="O1218" s="58"/>
      <c r="Q1218" s="58"/>
      <c r="R1218" s="58"/>
      <c r="S1218" s="58"/>
      <c r="T1218" s="58"/>
      <c r="U1218" s="58"/>
      <c r="V1218" s="14" t="str">
        <f t="shared" si="198"/>
        <v/>
      </c>
      <c r="W1218" s="77"/>
      <c r="X1218" s="85">
        <f t="shared" si="196"/>
        <v>0</v>
      </c>
      <c r="Y1218" s="21" t="str">
        <f t="shared" si="197"/>
        <v/>
      </c>
      <c r="AA1218" s="55">
        <f t="shared" si="199"/>
        <v>0</v>
      </c>
      <c r="AB1218" s="55">
        <f t="shared" si="200"/>
        <v>0</v>
      </c>
      <c r="AC1218" s="55">
        <f t="shared" si="194"/>
        <v>0</v>
      </c>
    </row>
    <row r="1219" spans="1:29">
      <c r="A1219" t="s">
        <v>195</v>
      </c>
      <c r="B1219" s="16" t="str">
        <f>INDEX(emprunts!C:C,MATCH($A1219,emprunts!A:A,0))</f>
        <v>Dexia CL</v>
      </c>
      <c r="C1219" s="18">
        <f>INDEX(emprunts!M:M,MATCH($A1219,emprunts!$A:$A,0))</f>
        <v>38709</v>
      </c>
      <c r="D1219" s="18">
        <f>IF(INDEX(emprunts!O:O,MATCH($A1219,emprunts!$A:$A,0))="",INDEX(emprunts!N:N,MATCH($A1219,emprunts!$A:$A,0)),MIN(INDEX(emprunts!N:N,MATCH($A1219,emprunts!$A:$A,0)),INDEX(emprunts!O:O,MATCH($A1219,emprunts!$A:$A,0))))</f>
        <v>39203</v>
      </c>
      <c r="E1219" s="52">
        <f>INDEX(emprunts!I:I,MATCH($A1219,emprunts!$A:$A,0))</f>
        <v>18.170000000000002</v>
      </c>
      <c r="F1219" s="18" t="str">
        <f>INDEX(emprunts!P:P,MATCH($A1219,emprunts!$A:$A,0))</f>
        <v>Pente</v>
      </c>
      <c r="G1219" s="126" t="str">
        <f>IF(LEFT(A1219,3)="vx_","vx",INDEX(Categorie,MATCH($A1219,emprunts!$A$2:$A$149,0)))</f>
        <v>Struct</v>
      </c>
      <c r="H1219">
        <v>2017</v>
      </c>
      <c r="I1219">
        <f t="shared" si="195"/>
        <v>1</v>
      </c>
      <c r="N1219"/>
      <c r="O1219" s="58"/>
      <c r="Q1219" s="58"/>
      <c r="R1219" s="58"/>
      <c r="S1219" s="58"/>
      <c r="T1219" s="58"/>
      <c r="U1219" s="58"/>
      <c r="V1219" s="14" t="str">
        <f t="shared" si="198"/>
        <v/>
      </c>
      <c r="W1219" s="77"/>
      <c r="X1219" s="85">
        <f t="shared" si="196"/>
        <v>0</v>
      </c>
      <c r="Y1219" s="21" t="str">
        <f t="shared" si="197"/>
        <v/>
      </c>
      <c r="AA1219" s="55">
        <f t="shared" si="199"/>
        <v>0</v>
      </c>
      <c r="AB1219" s="55">
        <f t="shared" si="200"/>
        <v>0</v>
      </c>
      <c r="AC1219" s="55">
        <f t="shared" si="194"/>
        <v>0</v>
      </c>
    </row>
    <row r="1220" spans="1:29">
      <c r="A1220" t="s">
        <v>204</v>
      </c>
      <c r="B1220" s="16" t="str">
        <f>INDEX(emprunts!C:C,MATCH($A1220,emprunts!A:A,0))</f>
        <v>Crédit Agricole</v>
      </c>
      <c r="C1220" s="18">
        <f>INDEX(emprunts!M:M,MATCH($A1220,emprunts!$A:$A,0))</f>
        <v>38782</v>
      </c>
      <c r="D1220" s="18">
        <f>IF(INDEX(emprunts!O:O,MATCH($A1220,emprunts!$A:$A,0))="",INDEX(emprunts!N:N,MATCH($A1220,emprunts!$A:$A,0)),MIN(INDEX(emprunts!N:N,MATCH($A1220,emprunts!$A:$A,0)),INDEX(emprunts!O:O,MATCH($A1220,emprunts!$A:$A,0))))</f>
        <v>44257</v>
      </c>
      <c r="E1220" s="52">
        <f>INDEX(emprunts!I:I,MATCH($A1220,emprunts!$A:$A,0))</f>
        <v>15</v>
      </c>
      <c r="F1220" s="18" t="str">
        <f>INDEX(emprunts!P:P,MATCH($A1220,emprunts!$A:$A,0))</f>
        <v>Barrière</v>
      </c>
      <c r="G1220" s="126" t="str">
        <f>IF(LEFT(A1220,3)="vx_","vx",INDEX(Categorie,MATCH($A1220,emprunts!$A$2:$A$149,0)))</f>
        <v>Struct</v>
      </c>
      <c r="H1220">
        <v>2017</v>
      </c>
      <c r="I1220">
        <f t="shared" si="195"/>
        <v>1</v>
      </c>
      <c r="N1220"/>
      <c r="O1220" s="58"/>
      <c r="Q1220" s="58"/>
      <c r="R1220" s="58"/>
      <c r="S1220" s="58"/>
      <c r="T1220" s="58"/>
      <c r="U1220" s="58"/>
      <c r="V1220" s="14" t="str">
        <f t="shared" si="198"/>
        <v/>
      </c>
      <c r="W1220" s="77"/>
      <c r="X1220" s="85">
        <f t="shared" si="196"/>
        <v>0</v>
      </c>
      <c r="Y1220" s="21" t="str">
        <f t="shared" si="197"/>
        <v/>
      </c>
      <c r="AA1220" s="55">
        <f t="shared" si="199"/>
        <v>0</v>
      </c>
      <c r="AB1220" s="55">
        <f t="shared" si="200"/>
        <v>0</v>
      </c>
      <c r="AC1220" s="55">
        <f t="shared" si="194"/>
        <v>0</v>
      </c>
    </row>
    <row r="1221" spans="1:29">
      <c r="A1221" t="s">
        <v>207</v>
      </c>
      <c r="B1221" s="16" t="str">
        <f>INDEX(emprunts!C:C,MATCH($A1221,emprunts!A:A,0))</f>
        <v>Crédit Agricole</v>
      </c>
      <c r="C1221" s="18">
        <f>INDEX(emprunts!M:M,MATCH($A1221,emprunts!$A:$A,0))</f>
        <v>38782</v>
      </c>
      <c r="D1221" s="18">
        <f>IF(INDEX(emprunts!O:O,MATCH($A1221,emprunts!$A:$A,0))="",INDEX(emprunts!N:N,MATCH($A1221,emprunts!$A:$A,0)),MIN(INDEX(emprunts!N:N,MATCH($A1221,emprunts!$A:$A,0)),INDEX(emprunts!O:O,MATCH($A1221,emprunts!$A:$A,0))))</f>
        <v>44261</v>
      </c>
      <c r="E1221" s="52">
        <f>INDEX(emprunts!I:I,MATCH($A1221,emprunts!$A:$A,0))</f>
        <v>15</v>
      </c>
      <c r="F1221" s="18" t="str">
        <f>INDEX(emprunts!P:P,MATCH($A1221,emprunts!$A:$A,0))</f>
        <v>Fixe</v>
      </c>
      <c r="G1221" s="126" t="str">
        <f>IF(LEFT(A1221,3)="vx_","vx",INDEX(Categorie,MATCH($A1221,emprunts!$A$2:$A$149,0)))</f>
        <v>Non_st</v>
      </c>
      <c r="H1221">
        <v>2017</v>
      </c>
      <c r="I1221">
        <f t="shared" si="195"/>
        <v>1</v>
      </c>
      <c r="N1221"/>
      <c r="O1221" s="58">
        <v>1603645</v>
      </c>
      <c r="P1221" s="4">
        <v>3.2199999999999999E-2</v>
      </c>
      <c r="Q1221" s="58">
        <v>134667.23000000001</v>
      </c>
      <c r="R1221" s="58">
        <v>366518.59</v>
      </c>
      <c r="S1221" s="58">
        <v>71124.52</v>
      </c>
      <c r="T1221" s="58">
        <v>47409.08</v>
      </c>
      <c r="U1221" s="58">
        <f>SUM(Q1221:S1221)</f>
        <v>572310.34000000008</v>
      </c>
      <c r="V1221" s="14">
        <f t="shared" si="198"/>
        <v>0</v>
      </c>
      <c r="W1221" s="77"/>
      <c r="X1221" s="85">
        <f t="shared" si="196"/>
        <v>0</v>
      </c>
      <c r="Y1221" s="21">
        <f t="shared" si="197"/>
        <v>0.10940252066825665</v>
      </c>
      <c r="AA1221" s="55">
        <f t="shared" si="199"/>
        <v>194956.24000000002</v>
      </c>
      <c r="AB1221" s="55">
        <f t="shared" si="200"/>
        <v>0.59000000008381903</v>
      </c>
      <c r="AC1221" s="55">
        <f t="shared" si="194"/>
        <v>1782008.6667945206</v>
      </c>
    </row>
    <row r="1222" spans="1:29">
      <c r="A1222" t="s">
        <v>211</v>
      </c>
      <c r="B1222" s="16" t="str">
        <f>INDEX(emprunts!C:C,MATCH($A1222,emprunts!A:A,0))</f>
        <v>Dexia CL</v>
      </c>
      <c r="C1222" s="18">
        <f>INDEX(emprunts!M:M,MATCH($A1222,emprunts!$A:$A,0))</f>
        <v>38899</v>
      </c>
      <c r="D1222" s="18">
        <f>IF(INDEX(emprunts!O:O,MATCH($A1222,emprunts!$A:$A,0))="",INDEX(emprunts!N:N,MATCH($A1222,emprunts!$A:$A,0)),MIN(INDEX(emprunts!N:N,MATCH($A1222,emprunts!$A:$A,0)),INDEX(emprunts!O:O,MATCH($A1222,emprunts!$A:$A,0))))</f>
        <v>40737</v>
      </c>
      <c r="E1222" s="52">
        <f>INDEX(emprunts!I:I,MATCH($A1222,emprunts!$A:$A,0))</f>
        <v>20</v>
      </c>
      <c r="F1222" s="18" t="str">
        <f>INDEX(emprunts!P:P,MATCH($A1222,emprunts!$A:$A,0))</f>
        <v>Change</v>
      </c>
      <c r="G1222" s="126" t="str">
        <f>IF(LEFT(A1222,3)="vx_","vx",INDEX(Categorie,MATCH($A1222,emprunts!$A$2:$A$149,0)))</f>
        <v>Struct</v>
      </c>
      <c r="H1222">
        <v>2017</v>
      </c>
      <c r="I1222">
        <f t="shared" si="195"/>
        <v>1</v>
      </c>
      <c r="N1222"/>
      <c r="O1222" s="58"/>
      <c r="Q1222" s="58"/>
      <c r="R1222" s="58"/>
      <c r="S1222" s="58"/>
      <c r="T1222" s="58"/>
      <c r="U1222" s="58"/>
      <c r="V1222" s="14" t="str">
        <f t="shared" si="198"/>
        <v/>
      </c>
      <c r="W1222" s="77"/>
      <c r="X1222" s="85">
        <f t="shared" si="196"/>
        <v>0</v>
      </c>
      <c r="Y1222" s="21" t="str">
        <f t="shared" si="197"/>
        <v/>
      </c>
      <c r="AA1222" s="55">
        <f t="shared" si="199"/>
        <v>0</v>
      </c>
      <c r="AB1222" s="55">
        <f t="shared" si="200"/>
        <v>0</v>
      </c>
      <c r="AC1222" s="55">
        <f t="shared" si="194"/>
        <v>0</v>
      </c>
    </row>
    <row r="1223" spans="1:29">
      <c r="A1223" t="s">
        <v>215</v>
      </c>
      <c r="B1223" s="16" t="str">
        <f>INDEX(emprunts!C:C,MATCH($A1223,emprunts!A:A,0))</f>
        <v>Dexia CL</v>
      </c>
      <c r="C1223" s="18">
        <f>INDEX(emprunts!M:M,MATCH($A1223,emprunts!$A:$A,0))</f>
        <v>38991</v>
      </c>
      <c r="D1223" s="18">
        <f>IF(INDEX(emprunts!O:O,MATCH($A1223,emprunts!$A:$A,0))="",INDEX(emprunts!N:N,MATCH($A1223,emprunts!$A:$A,0)),MIN(INDEX(emprunts!N:N,MATCH($A1223,emprunts!$A:$A,0)),INDEX(emprunts!O:O,MATCH($A1223,emprunts!$A:$A,0))))</f>
        <v>40087</v>
      </c>
      <c r="E1223" s="52">
        <f>INDEX(emprunts!I:I,MATCH($A1223,emprunts!$A:$A,0))</f>
        <v>19</v>
      </c>
      <c r="F1223" s="18" t="str">
        <f>INDEX(emprunts!P:P,MATCH($A1223,emprunts!$A:$A,0))</f>
        <v>Change</v>
      </c>
      <c r="G1223" s="126" t="str">
        <f>IF(LEFT(A1223,3)="vx_","vx",INDEX(Categorie,MATCH($A1223,emprunts!$A$2:$A$149,0)))</f>
        <v>Struct</v>
      </c>
      <c r="H1223">
        <v>2017</v>
      </c>
      <c r="I1223">
        <f t="shared" si="195"/>
        <v>1</v>
      </c>
      <c r="N1223"/>
      <c r="O1223" s="58"/>
      <c r="Q1223" s="58"/>
      <c r="R1223" s="58"/>
      <c r="S1223" s="58"/>
      <c r="T1223" s="58"/>
      <c r="U1223" s="58"/>
      <c r="V1223" s="14" t="str">
        <f t="shared" si="198"/>
        <v/>
      </c>
      <c r="W1223" s="77"/>
      <c r="X1223" s="85">
        <f t="shared" si="196"/>
        <v>0</v>
      </c>
      <c r="Y1223" s="21" t="str">
        <f t="shared" si="197"/>
        <v/>
      </c>
      <c r="AA1223" s="55">
        <f t="shared" si="199"/>
        <v>0</v>
      </c>
      <c r="AB1223" s="55">
        <f t="shared" si="200"/>
        <v>0</v>
      </c>
      <c r="AC1223" s="55">
        <f t="shared" si="194"/>
        <v>0</v>
      </c>
    </row>
    <row r="1224" spans="1:29">
      <c r="A1224" t="s">
        <v>217</v>
      </c>
      <c r="B1224" s="16" t="str">
        <f>INDEX(emprunts!C:C,MATCH($A1224,emprunts!A:A,0))</f>
        <v>Dexia CL</v>
      </c>
      <c r="C1224" s="18">
        <f>INDEX(emprunts!M:M,MATCH($A1224,emprunts!$A:$A,0))</f>
        <v>38991</v>
      </c>
      <c r="D1224" s="18">
        <f>IF(INDEX(emprunts!O:O,MATCH($A1224,emprunts!$A:$A,0))="",INDEX(emprunts!N:N,MATCH($A1224,emprunts!$A:$A,0)),MIN(INDEX(emprunts!N:N,MATCH($A1224,emprunts!$A:$A,0)),INDEX(emprunts!O:O,MATCH($A1224,emprunts!$A:$A,0))))</f>
        <v>39783</v>
      </c>
      <c r="E1224" s="52">
        <f>INDEX(emprunts!I:I,MATCH($A1224,emprunts!$A:$A,0))</f>
        <v>19.170000000000002</v>
      </c>
      <c r="F1224" s="18" t="str">
        <f>INDEX(emprunts!P:P,MATCH($A1224,emprunts!$A:$A,0))</f>
        <v>Change</v>
      </c>
      <c r="G1224" s="126" t="str">
        <f>IF(LEFT(A1224,3)="vx_","vx",INDEX(Categorie,MATCH($A1224,emprunts!$A$2:$A$149,0)))</f>
        <v>Struct</v>
      </c>
      <c r="H1224">
        <v>2017</v>
      </c>
      <c r="I1224">
        <f t="shared" si="195"/>
        <v>1</v>
      </c>
      <c r="N1224"/>
      <c r="O1224" s="58"/>
      <c r="Q1224" s="58"/>
      <c r="R1224" s="58"/>
      <c r="S1224" s="58"/>
      <c r="T1224" s="58"/>
      <c r="U1224" s="58"/>
      <c r="V1224" s="14" t="str">
        <f t="shared" si="198"/>
        <v/>
      </c>
      <c r="W1224" s="77"/>
      <c r="X1224" s="85">
        <f t="shared" si="196"/>
        <v>0</v>
      </c>
      <c r="Y1224" s="21" t="str">
        <f t="shared" si="197"/>
        <v/>
      </c>
      <c r="AA1224" s="55">
        <f t="shared" si="199"/>
        <v>0</v>
      </c>
      <c r="AB1224" s="55">
        <f t="shared" si="200"/>
        <v>0</v>
      </c>
      <c r="AC1224" s="55">
        <f t="shared" si="194"/>
        <v>0</v>
      </c>
    </row>
    <row r="1225" spans="1:29">
      <c r="A1225" t="s">
        <v>222</v>
      </c>
      <c r="B1225" s="16" t="str">
        <f>INDEX(emprunts!C:C,MATCH($A1225,emprunts!A:A,0))</f>
        <v>Dexia CL</v>
      </c>
      <c r="C1225" s="18">
        <f>INDEX(emprunts!M:M,MATCH($A1225,emprunts!$A:$A,0))</f>
        <v>39114</v>
      </c>
      <c r="D1225" s="18">
        <f>IF(INDEX(emprunts!O:O,MATCH($A1225,emprunts!$A:$A,0))="",INDEX(emprunts!N:N,MATCH($A1225,emprunts!$A:$A,0)),MIN(INDEX(emprunts!N:N,MATCH($A1225,emprunts!$A:$A,0)),INDEX(emprunts!O:O,MATCH($A1225,emprunts!$A:$A,0))))</f>
        <v>39668</v>
      </c>
      <c r="E1225" s="52">
        <f>INDEX(emprunts!I:I,MATCH($A1225,emprunts!$A:$A,0))</f>
        <v>18.75</v>
      </c>
      <c r="F1225" s="18" t="str">
        <f>INDEX(emprunts!P:P,MATCH($A1225,emprunts!$A:$A,0))</f>
        <v>Change</v>
      </c>
      <c r="G1225" s="126" t="str">
        <f>IF(LEFT(A1225,3)="vx_","vx",INDEX(Categorie,MATCH($A1225,emprunts!$A$2:$A$149,0)))</f>
        <v>Struct</v>
      </c>
      <c r="H1225">
        <v>2017</v>
      </c>
      <c r="I1225">
        <f t="shared" si="195"/>
        <v>1</v>
      </c>
      <c r="N1225"/>
      <c r="O1225" s="58"/>
      <c r="Q1225" s="58"/>
      <c r="R1225" s="58"/>
      <c r="S1225" s="58"/>
      <c r="T1225" s="58"/>
      <c r="U1225" s="58"/>
      <c r="V1225" s="14" t="str">
        <f t="shared" si="198"/>
        <v/>
      </c>
      <c r="W1225" s="77"/>
      <c r="X1225" s="85">
        <f t="shared" si="196"/>
        <v>0</v>
      </c>
      <c r="Y1225" s="21" t="str">
        <f t="shared" si="197"/>
        <v/>
      </c>
      <c r="AA1225" s="55">
        <f t="shared" si="199"/>
        <v>0</v>
      </c>
      <c r="AB1225" s="55">
        <f t="shared" si="200"/>
        <v>0</v>
      </c>
      <c r="AC1225" s="55">
        <f t="shared" si="194"/>
        <v>0</v>
      </c>
    </row>
    <row r="1226" spans="1:29">
      <c r="A1226" t="s">
        <v>223</v>
      </c>
      <c r="B1226" s="16" t="str">
        <f>INDEX(emprunts!C:C,MATCH($A1226,emprunts!A:A,0))</f>
        <v>Crédit Agricole</v>
      </c>
      <c r="C1226" s="18">
        <f>INDEX(emprunts!M:M,MATCH($A1226,emprunts!$A:$A,0))</f>
        <v>39182</v>
      </c>
      <c r="D1226" s="18">
        <f>IF(INDEX(emprunts!O:O,MATCH($A1226,emprunts!$A:$A,0))="",INDEX(emprunts!N:N,MATCH($A1226,emprunts!$A:$A,0)),MIN(INDEX(emprunts!N:N,MATCH($A1226,emprunts!$A:$A,0)),INDEX(emprunts!O:O,MATCH($A1226,emprunts!$A:$A,0))))</f>
        <v>46813</v>
      </c>
      <c r="E1226" s="52">
        <f>INDEX(emprunts!I:I,MATCH($A1226,emprunts!$A:$A,0))</f>
        <v>20</v>
      </c>
      <c r="F1226" s="18" t="str">
        <f>INDEX(emprunts!P:P,MATCH($A1226,emprunts!$A:$A,0))</f>
        <v>Pente</v>
      </c>
      <c r="G1226" s="126" t="str">
        <f>IF(LEFT(A1226,3)="vx_","vx",INDEX(Categorie,MATCH($A1226,emprunts!$A$2:$A$149,0)))</f>
        <v>Struct</v>
      </c>
      <c r="H1226">
        <v>2017</v>
      </c>
      <c r="I1226">
        <f t="shared" si="195"/>
        <v>1</v>
      </c>
      <c r="N1226"/>
      <c r="O1226" s="58">
        <v>3086939</v>
      </c>
      <c r="P1226" s="4">
        <v>3.5400000000000001E-2</v>
      </c>
      <c r="Q1226" s="58">
        <v>114772.67</v>
      </c>
      <c r="R1226" s="58">
        <v>234898.72</v>
      </c>
      <c r="S1226" s="58"/>
      <c r="T1226" s="58">
        <v>9003.57</v>
      </c>
      <c r="U1226" s="58">
        <f>SUM(Q1226:S1226)</f>
        <v>349671.39</v>
      </c>
      <c r="V1226" s="14">
        <f t="shared" si="198"/>
        <v>0</v>
      </c>
      <c r="W1226" s="77"/>
      <c r="X1226" s="85">
        <f t="shared" si="196"/>
        <v>0</v>
      </c>
      <c r="Y1226" s="21">
        <f t="shared" si="197"/>
        <v>3.5701345930230763E-2</v>
      </c>
      <c r="AA1226" s="55">
        <f t="shared" si="199"/>
        <v>114087.54999999999</v>
      </c>
      <c r="AB1226" s="55">
        <f t="shared" si="200"/>
        <v>-0.27999999979510903</v>
      </c>
      <c r="AC1226" s="55">
        <f t="shared" si="194"/>
        <v>3195609.2138082189</v>
      </c>
    </row>
    <row r="1227" spans="1:29">
      <c r="A1227" t="s">
        <v>227</v>
      </c>
      <c r="B1227" s="16" t="str">
        <f>INDEX(emprunts!C:C,MATCH($A1227,emprunts!A:A,0))</f>
        <v>Dexia CL</v>
      </c>
      <c r="C1227" s="18">
        <f>INDEX(emprunts!M:M,MATCH($A1227,emprunts!$A:$A,0))</f>
        <v>39203</v>
      </c>
      <c r="D1227" s="18">
        <f>IF(INDEX(emprunts!O:O,MATCH($A1227,emprunts!$A:$A,0))="",INDEX(emprunts!N:N,MATCH($A1227,emprunts!$A:$A,0)),MIN(INDEX(emprunts!N:N,MATCH($A1227,emprunts!$A:$A,0)),INDEX(emprunts!O:O,MATCH($A1227,emprunts!$A:$A,0))))</f>
        <v>40176</v>
      </c>
      <c r="E1227" s="52">
        <f>INDEX(emprunts!I:I,MATCH($A1227,emprunts!$A:$A,0))</f>
        <v>17</v>
      </c>
      <c r="F1227" s="18" t="str">
        <f>INDEX(emprunts!P:P,MATCH($A1227,emprunts!$A:$A,0))</f>
        <v>Courbes</v>
      </c>
      <c r="G1227" s="126" t="str">
        <f>IF(LEFT(A1227,3)="vx_","vx",INDEX(Categorie,MATCH($A1227,emprunts!$A$2:$A$149,0)))</f>
        <v>Struct</v>
      </c>
      <c r="H1227">
        <v>2017</v>
      </c>
      <c r="I1227">
        <f t="shared" si="195"/>
        <v>1</v>
      </c>
      <c r="N1227"/>
      <c r="O1227" s="58"/>
      <c r="Q1227" s="58"/>
      <c r="R1227" s="58"/>
      <c r="S1227" s="58"/>
      <c r="T1227" s="58"/>
      <c r="U1227" s="58"/>
      <c r="V1227" s="14" t="str">
        <f t="shared" si="198"/>
        <v/>
      </c>
      <c r="W1227" s="77"/>
      <c r="X1227" s="85">
        <f t="shared" si="196"/>
        <v>0</v>
      </c>
      <c r="Y1227" s="21" t="str">
        <f t="shared" si="197"/>
        <v/>
      </c>
      <c r="AA1227" s="55">
        <f t="shared" si="199"/>
        <v>0</v>
      </c>
      <c r="AB1227" s="55">
        <f t="shared" si="200"/>
        <v>0</v>
      </c>
      <c r="AC1227" s="55">
        <f t="shared" ref="AC1227:AC1286" si="201">MAX(0,(C1227-DATE(H1227,1,1))/365)*0+MAX(0,MIN(1,(MIN(DATE(H1227,12,31),D1227)-MAX(DATE(H1227,1,1),C1227))/365))*(O1227+X1227+R1227/2)</f>
        <v>0</v>
      </c>
    </row>
    <row r="1228" spans="1:29">
      <c r="A1228" t="s">
        <v>231</v>
      </c>
      <c r="B1228" s="16" t="str">
        <f>INDEX(emprunts!C:C,MATCH($A1228,emprunts!A:A,0))</f>
        <v>Dexia CL</v>
      </c>
      <c r="C1228" s="18">
        <f>INDEX(emprunts!M:M,MATCH($A1228,emprunts!$A:$A,0))</f>
        <v>39203</v>
      </c>
      <c r="D1228" s="18">
        <f>IF(INDEX(emprunts!O:O,MATCH($A1228,emprunts!$A:$A,0))="",INDEX(emprunts!N:N,MATCH($A1228,emprunts!$A:$A,0)),MIN(INDEX(emprunts!N:N,MATCH($A1228,emprunts!$A:$A,0)),INDEX(emprunts!O:O,MATCH($A1228,emprunts!$A:$A,0))))</f>
        <v>40176</v>
      </c>
      <c r="E1228" s="52">
        <f>INDEX(emprunts!I:I,MATCH($A1228,emprunts!$A:$A,0))</f>
        <v>16.920000000000002</v>
      </c>
      <c r="F1228" s="18" t="str">
        <f>INDEX(emprunts!P:P,MATCH($A1228,emprunts!$A:$A,0))</f>
        <v>Écart d'inflation</v>
      </c>
      <c r="G1228" s="126" t="str">
        <f>IF(LEFT(A1228,3)="vx_","vx",INDEX(Categorie,MATCH($A1228,emprunts!$A$2:$A$149,0)))</f>
        <v>Struct</v>
      </c>
      <c r="H1228">
        <v>2017</v>
      </c>
      <c r="I1228">
        <f t="shared" si="195"/>
        <v>1</v>
      </c>
      <c r="N1228"/>
      <c r="O1228" s="58"/>
      <c r="Q1228" s="58"/>
      <c r="R1228" s="58"/>
      <c r="S1228" s="58"/>
      <c r="T1228" s="58"/>
      <c r="U1228" s="58"/>
      <c r="V1228" s="14" t="str">
        <f t="shared" si="198"/>
        <v/>
      </c>
      <c r="W1228" s="77"/>
      <c r="X1228" s="85">
        <f t="shared" si="196"/>
        <v>0</v>
      </c>
      <c r="Y1228" s="21" t="str">
        <f t="shared" si="197"/>
        <v/>
      </c>
      <c r="AA1228" s="55">
        <f t="shared" si="199"/>
        <v>0</v>
      </c>
      <c r="AB1228" s="55">
        <f t="shared" si="200"/>
        <v>0</v>
      </c>
      <c r="AC1228" s="55">
        <f t="shared" si="201"/>
        <v>0</v>
      </c>
    </row>
    <row r="1229" spans="1:29">
      <c r="A1229" t="s">
        <v>233</v>
      </c>
      <c r="B1229" s="16" t="str">
        <f>INDEX(emprunts!C:C,MATCH($A1229,emprunts!A:A,0))</f>
        <v>Société Générale</v>
      </c>
      <c r="C1229" s="18">
        <f>INDEX(emprunts!M:M,MATCH($A1229,emprunts!$A:$A,0))</f>
        <v>39226</v>
      </c>
      <c r="D1229" s="18">
        <f>IF(INDEX(emprunts!O:O,MATCH($A1229,emprunts!$A:$A,0))="",INDEX(emprunts!N:N,MATCH($A1229,emprunts!$A:$A,0)),MIN(INDEX(emprunts!N:N,MATCH($A1229,emprunts!$A:$A,0)),INDEX(emprunts!O:O,MATCH($A1229,emprunts!$A:$A,0))))</f>
        <v>39904</v>
      </c>
      <c r="E1229" s="52">
        <f>INDEX(emprunts!I:I,MATCH($A1229,emprunts!$A:$A,0))</f>
        <v>19</v>
      </c>
      <c r="F1229" s="18" t="str">
        <f>INDEX(emprunts!P:P,MATCH($A1229,emprunts!$A:$A,0))</f>
        <v>Change</v>
      </c>
      <c r="G1229" s="126" t="str">
        <f>IF(LEFT(A1229,3)="vx_","vx",INDEX(Categorie,MATCH($A1229,emprunts!$A$2:$A$149,0)))</f>
        <v>Struct</v>
      </c>
      <c r="H1229">
        <v>2017</v>
      </c>
      <c r="I1229">
        <f t="shared" si="195"/>
        <v>1</v>
      </c>
      <c r="N1229"/>
      <c r="O1229" s="58"/>
      <c r="Q1229" s="58"/>
      <c r="R1229" s="58"/>
      <c r="S1229" s="58"/>
      <c r="T1229" s="58"/>
      <c r="U1229" s="58"/>
      <c r="V1229" s="14" t="str">
        <f t="shared" si="198"/>
        <v/>
      </c>
      <c r="W1229" s="77"/>
      <c r="X1229" s="85">
        <f t="shared" si="196"/>
        <v>0</v>
      </c>
      <c r="Y1229" s="21" t="str">
        <f t="shared" si="197"/>
        <v/>
      </c>
      <c r="AA1229" s="55">
        <f t="shared" si="199"/>
        <v>0</v>
      </c>
      <c r="AB1229" s="55">
        <f t="shared" si="200"/>
        <v>0</v>
      </c>
      <c r="AC1229" s="55">
        <f t="shared" si="201"/>
        <v>0</v>
      </c>
    </row>
    <row r="1230" spans="1:29">
      <c r="A1230" t="s">
        <v>235</v>
      </c>
      <c r="B1230" s="16" t="str">
        <f>INDEX(emprunts!C:C,MATCH($A1230,emprunts!A:A,0))</f>
        <v>Caisse d'Épargne</v>
      </c>
      <c r="C1230" s="18">
        <f>INDEX(emprunts!M:M,MATCH($A1230,emprunts!$A:$A,0))</f>
        <v>39288</v>
      </c>
      <c r="D1230" s="18">
        <f>IF(INDEX(emprunts!O:O,MATCH($A1230,emprunts!$A:$A,0))="",INDEX(emprunts!N:N,MATCH($A1230,emprunts!$A:$A,0)),MIN(INDEX(emprunts!N:N,MATCH($A1230,emprunts!$A:$A,0)),INDEX(emprunts!O:O,MATCH($A1230,emprunts!$A:$A,0))))</f>
        <v>40964</v>
      </c>
      <c r="E1230" s="52">
        <f>INDEX(emprunts!I:I,MATCH($A1230,emprunts!$A:$A,0))</f>
        <v>18.579999999999998</v>
      </c>
      <c r="F1230" s="18" t="str">
        <f>INDEX(emprunts!P:P,MATCH($A1230,emprunts!$A:$A,0))</f>
        <v>Courbes</v>
      </c>
      <c r="G1230" s="126" t="str">
        <f>IF(LEFT(A1230,3)="vx_","vx",INDEX(Categorie,MATCH($A1230,emprunts!$A$2:$A$149,0)))</f>
        <v>Struct</v>
      </c>
      <c r="H1230">
        <v>2017</v>
      </c>
      <c r="I1230">
        <f t="shared" si="195"/>
        <v>1</v>
      </c>
      <c r="N1230"/>
      <c r="O1230" s="58"/>
      <c r="Q1230" s="58"/>
      <c r="R1230" s="58"/>
      <c r="S1230" s="58"/>
      <c r="T1230" s="58"/>
      <c r="U1230" s="58"/>
      <c r="V1230" s="14" t="str">
        <f t="shared" si="198"/>
        <v/>
      </c>
      <c r="W1230" s="77"/>
      <c r="X1230" s="85">
        <f t="shared" si="196"/>
        <v>0</v>
      </c>
      <c r="Y1230" s="21" t="str">
        <f t="shared" si="197"/>
        <v/>
      </c>
      <c r="AA1230" s="55">
        <f t="shared" si="199"/>
        <v>0</v>
      </c>
      <c r="AB1230" s="55">
        <f t="shared" si="200"/>
        <v>0</v>
      </c>
      <c r="AC1230" s="55">
        <f t="shared" si="201"/>
        <v>0</v>
      </c>
    </row>
    <row r="1231" spans="1:29">
      <c r="A1231" t="s">
        <v>246</v>
      </c>
      <c r="B1231" s="16" t="str">
        <f>INDEX(emprunts!C:C,MATCH($A1231,emprunts!A:A,0))</f>
        <v>Dexia CL</v>
      </c>
      <c r="C1231" s="18">
        <f>INDEX(emprunts!M:M,MATCH($A1231,emprunts!$A:$A,0))</f>
        <v>39350</v>
      </c>
      <c r="D1231" s="18">
        <f>IF(INDEX(emprunts!O:O,MATCH($A1231,emprunts!$A:$A,0))="",INDEX(emprunts!N:N,MATCH($A1231,emprunts!$A:$A,0)),MIN(INDEX(emprunts!N:N,MATCH($A1231,emprunts!$A:$A,0)),INDEX(emprunts!O:O,MATCH($A1231,emprunts!$A:$A,0))))</f>
        <v>40179</v>
      </c>
      <c r="E1231" s="52">
        <f>INDEX(emprunts!I:I,MATCH($A1231,emprunts!$A:$A,0))</f>
        <v>25.42</v>
      </c>
      <c r="F1231" s="18" t="str">
        <f>INDEX(emprunts!P:P,MATCH($A1231,emprunts!$A:$A,0))</f>
        <v>Barrière avec multiplicateur</v>
      </c>
      <c r="G1231" s="126" t="str">
        <f>IF(LEFT(A1231,3)="vx_","vx",INDEX(Categorie,MATCH($A1231,emprunts!$A$2:$A$149,0)))</f>
        <v>Struct</v>
      </c>
      <c r="H1231">
        <v>2017</v>
      </c>
      <c r="I1231">
        <f t="shared" si="195"/>
        <v>1</v>
      </c>
      <c r="N1231"/>
      <c r="O1231" s="58"/>
      <c r="Q1231" s="58"/>
      <c r="R1231" s="58"/>
      <c r="S1231" s="58"/>
      <c r="T1231" s="58"/>
      <c r="U1231" s="58"/>
      <c r="V1231" s="14" t="str">
        <f t="shared" si="198"/>
        <v/>
      </c>
      <c r="W1231" s="77"/>
      <c r="X1231" s="85">
        <f t="shared" si="196"/>
        <v>0</v>
      </c>
      <c r="Y1231" s="21" t="str">
        <f t="shared" si="197"/>
        <v/>
      </c>
      <c r="AA1231" s="55">
        <f t="shared" si="199"/>
        <v>0</v>
      </c>
      <c r="AB1231" s="55">
        <f t="shared" si="200"/>
        <v>0</v>
      </c>
      <c r="AC1231" s="55">
        <f t="shared" si="201"/>
        <v>0</v>
      </c>
    </row>
    <row r="1232" spans="1:29">
      <c r="A1232" t="s">
        <v>250</v>
      </c>
      <c r="B1232" s="16" t="str">
        <f>INDEX(emprunts!C:C,MATCH($A1232,emprunts!A:A,0))</f>
        <v>Caisse d'Épargne</v>
      </c>
      <c r="C1232" s="18">
        <f>INDEX(emprunts!M:M,MATCH($A1232,emprunts!$A:$A,0))</f>
        <v>39447</v>
      </c>
      <c r="D1232" s="18">
        <f>IF(INDEX(emprunts!O:O,MATCH($A1232,emprunts!$A:$A,0))="",INDEX(emprunts!N:N,MATCH($A1232,emprunts!$A:$A,0)),MIN(INDEX(emprunts!N:N,MATCH($A1232,emprunts!$A:$A,0)),INDEX(emprunts!O:O,MATCH($A1232,emprunts!$A:$A,0))))</f>
        <v>41330</v>
      </c>
      <c r="E1232" s="52">
        <f>INDEX(emprunts!I:I,MATCH($A1232,emprunts!$A:$A,0))</f>
        <v>20</v>
      </c>
      <c r="F1232" s="18" t="str">
        <f>INDEX(emprunts!P:P,MATCH($A1232,emprunts!$A:$A,0))</f>
        <v>Courbes</v>
      </c>
      <c r="G1232" s="126" t="str">
        <f>IF(LEFT(A1232,3)="vx_","vx",INDEX(Categorie,MATCH($A1232,emprunts!$A$2:$A$149,0)))</f>
        <v>Struct</v>
      </c>
      <c r="H1232">
        <v>2017</v>
      </c>
      <c r="I1232">
        <f t="shared" si="195"/>
        <v>1</v>
      </c>
      <c r="N1232"/>
      <c r="O1232" s="58"/>
      <c r="Q1232" s="58"/>
      <c r="R1232" s="58"/>
      <c r="S1232" s="58"/>
      <c r="T1232" s="58"/>
      <c r="U1232" s="58"/>
      <c r="V1232" s="14" t="str">
        <f t="shared" si="198"/>
        <v/>
      </c>
      <c r="W1232" s="77"/>
      <c r="X1232" s="85">
        <f t="shared" si="196"/>
        <v>0</v>
      </c>
      <c r="Y1232" s="21" t="str">
        <f t="shared" si="197"/>
        <v/>
      </c>
      <c r="AA1232" s="55">
        <f t="shared" si="199"/>
        <v>0</v>
      </c>
      <c r="AB1232" s="55">
        <f t="shared" si="200"/>
        <v>0</v>
      </c>
      <c r="AC1232" s="55">
        <f t="shared" si="201"/>
        <v>0</v>
      </c>
    </row>
    <row r="1233" spans="1:29">
      <c r="A1233" t="s">
        <v>253</v>
      </c>
      <c r="B1233" s="16" t="str">
        <f>INDEX(emprunts!C:C,MATCH($A1233,emprunts!A:A,0))</f>
        <v>Dexia CL</v>
      </c>
      <c r="C1233" s="18">
        <f>INDEX(emprunts!M:M,MATCH($A1233,emprunts!$A:$A,0))</f>
        <v>40176</v>
      </c>
      <c r="D1233" s="18">
        <f>IF(INDEX(emprunts!O:O,MATCH($A1233,emprunts!$A:$A,0))="",INDEX(emprunts!N:N,MATCH($A1233,emprunts!$A:$A,0)),MIN(INDEX(emprunts!N:N,MATCH($A1233,emprunts!$A:$A,0)),INDEX(emprunts!O:O,MATCH($A1233,emprunts!$A:$A,0))))</f>
        <v>40299</v>
      </c>
      <c r="E1233" s="52">
        <f>INDEX(emprunts!I:I,MATCH($A1233,emprunts!$A:$A,0))</f>
        <v>20.83</v>
      </c>
      <c r="F1233" s="18" t="str">
        <f>INDEX(emprunts!P:P,MATCH($A1233,emprunts!$A:$A,0))</f>
        <v>Courbes</v>
      </c>
      <c r="G1233" s="126" t="str">
        <f>IF(LEFT(A1233,3)="vx_","vx",INDEX(Categorie,MATCH($A1233,emprunts!$A$2:$A$149,0)))</f>
        <v>Struct</v>
      </c>
      <c r="H1233">
        <v>2017</v>
      </c>
      <c r="I1233">
        <f t="shared" si="195"/>
        <v>1</v>
      </c>
      <c r="N1233"/>
      <c r="O1233" s="58"/>
      <c r="Q1233" s="58"/>
      <c r="R1233" s="58"/>
      <c r="S1233" s="58"/>
      <c r="T1233" s="58"/>
      <c r="U1233" s="58"/>
      <c r="V1233" s="14" t="str">
        <f t="shared" si="198"/>
        <v/>
      </c>
      <c r="W1233" s="77"/>
      <c r="X1233" s="85">
        <f t="shared" si="196"/>
        <v>0</v>
      </c>
      <c r="Y1233" s="21" t="str">
        <f t="shared" si="197"/>
        <v/>
      </c>
      <c r="AA1233" s="55">
        <f t="shared" si="199"/>
        <v>0</v>
      </c>
      <c r="AB1233" s="55">
        <f t="shared" si="200"/>
        <v>0</v>
      </c>
      <c r="AC1233" s="55">
        <f t="shared" si="201"/>
        <v>0</v>
      </c>
    </row>
    <row r="1234" spans="1:29">
      <c r="A1234" t="s">
        <v>255</v>
      </c>
      <c r="B1234" s="16" t="str">
        <f>INDEX(emprunts!C:C,MATCH($A1234,emprunts!A:A,0))</f>
        <v>Dexia CL</v>
      </c>
      <c r="C1234" s="18">
        <f>INDEX(emprunts!M:M,MATCH($A1234,emprunts!$A:$A,0))</f>
        <v>39668</v>
      </c>
      <c r="D1234" s="18">
        <f>IF(INDEX(emprunts!O:O,MATCH($A1234,emprunts!$A:$A,0))="",INDEX(emprunts!N:N,MATCH($A1234,emprunts!$A:$A,0)),MIN(INDEX(emprunts!N:N,MATCH($A1234,emprunts!$A:$A,0)),INDEX(emprunts!O:O,MATCH($A1234,emprunts!$A:$A,0))))</f>
        <v>40848</v>
      </c>
      <c r="E1234" s="52">
        <f>INDEX(emprunts!I:I,MATCH($A1234,emprunts!$A:$A,0))</f>
        <v>25.33</v>
      </c>
      <c r="F1234" s="18" t="str">
        <f>INDEX(emprunts!P:P,MATCH($A1234,emprunts!$A:$A,0))</f>
        <v>Change</v>
      </c>
      <c r="G1234" s="126" t="str">
        <f>IF(LEFT(A1234,3)="vx_","vx",INDEX(Categorie,MATCH($A1234,emprunts!$A$2:$A$149,0)))</f>
        <v>Struct</v>
      </c>
      <c r="H1234">
        <v>2017</v>
      </c>
      <c r="I1234">
        <f t="shared" si="195"/>
        <v>1</v>
      </c>
      <c r="N1234"/>
      <c r="O1234" s="58"/>
      <c r="Q1234" s="58"/>
      <c r="R1234" s="58"/>
      <c r="S1234" s="58"/>
      <c r="T1234" s="58"/>
      <c r="U1234" s="58"/>
      <c r="V1234" s="14" t="str">
        <f t="shared" si="198"/>
        <v/>
      </c>
      <c r="W1234" s="77"/>
      <c r="X1234" s="85">
        <f t="shared" si="196"/>
        <v>0</v>
      </c>
      <c r="Y1234" s="21" t="str">
        <f t="shared" si="197"/>
        <v/>
      </c>
      <c r="AA1234" s="55">
        <f t="shared" si="199"/>
        <v>0</v>
      </c>
      <c r="AB1234" s="55">
        <f t="shared" si="200"/>
        <v>0</v>
      </c>
      <c r="AC1234" s="55">
        <f t="shared" si="201"/>
        <v>0</v>
      </c>
    </row>
    <row r="1235" spans="1:29">
      <c r="A1235" t="s">
        <v>256</v>
      </c>
      <c r="B1235" s="16" t="str">
        <f>INDEX(emprunts!C:C,MATCH($A1235,emprunts!A:A,0))</f>
        <v>Dexia CL</v>
      </c>
      <c r="C1235" s="18">
        <f>INDEX(emprunts!M:M,MATCH($A1235,emprunts!$A:$A,0))</f>
        <v>39668</v>
      </c>
      <c r="D1235" s="18">
        <f>IF(INDEX(emprunts!O:O,MATCH($A1235,emprunts!$A:$A,0))="",INDEX(emprunts!N:N,MATCH($A1235,emprunts!$A:$A,0)),MIN(INDEX(emprunts!N:N,MATCH($A1235,emprunts!$A:$A,0)),INDEX(emprunts!O:O,MATCH($A1235,emprunts!$A:$A,0))))</f>
        <v>41214</v>
      </c>
      <c r="E1235" s="52">
        <f>INDEX(emprunts!I:I,MATCH($A1235,emprunts!$A:$A,0))</f>
        <v>25.33</v>
      </c>
      <c r="F1235" s="18" t="str">
        <f>INDEX(emprunts!P:P,MATCH($A1235,emprunts!$A:$A,0))</f>
        <v>Change</v>
      </c>
      <c r="G1235" s="126" t="str">
        <f>IF(LEFT(A1235,3)="vx_","vx",INDEX(Categorie,MATCH($A1235,emprunts!$A$2:$A$149,0)))</f>
        <v>Struct</v>
      </c>
      <c r="H1235">
        <v>2017</v>
      </c>
      <c r="I1235">
        <f t="shared" si="195"/>
        <v>1</v>
      </c>
      <c r="N1235"/>
      <c r="O1235" s="58"/>
      <c r="Q1235" s="58"/>
      <c r="R1235" s="58"/>
      <c r="S1235" s="58"/>
      <c r="T1235" s="58"/>
      <c r="U1235" s="58"/>
      <c r="V1235" s="14" t="str">
        <f t="shared" si="198"/>
        <v/>
      </c>
      <c r="W1235" s="77"/>
      <c r="X1235" s="85">
        <f t="shared" si="196"/>
        <v>0</v>
      </c>
      <c r="Y1235" s="21" t="str">
        <f t="shared" si="197"/>
        <v/>
      </c>
      <c r="AA1235" s="55">
        <f t="shared" si="199"/>
        <v>0</v>
      </c>
      <c r="AB1235" s="55">
        <f t="shared" si="200"/>
        <v>0</v>
      </c>
      <c r="AC1235" s="55">
        <f t="shared" si="201"/>
        <v>0</v>
      </c>
    </row>
    <row r="1236" spans="1:29">
      <c r="A1236" t="s">
        <v>257</v>
      </c>
      <c r="B1236" s="16" t="str">
        <f>INDEX(emprunts!C:C,MATCH($A1236,emprunts!A:A,0))</f>
        <v>Dexia CL</v>
      </c>
      <c r="C1236" s="18">
        <f>INDEX(emprunts!M:M,MATCH($A1236,emprunts!$A:$A,0))</f>
        <v>41214</v>
      </c>
      <c r="D1236" s="18">
        <f>IF(INDEX(emprunts!O:O,MATCH($A1236,emprunts!$A:$A,0))="",INDEX(emprunts!N:N,MATCH($A1236,emprunts!$A:$A,0)),MIN(INDEX(emprunts!N:N,MATCH($A1236,emprunts!$A:$A,0)),INDEX(emprunts!O:O,MATCH($A1236,emprunts!$A:$A,0))))</f>
        <v>43040</v>
      </c>
      <c r="E1236" s="52">
        <f>INDEX(emprunts!I:I,MATCH($A1236,emprunts!$A:$A,0))</f>
        <v>25</v>
      </c>
      <c r="F1236" s="18" t="str">
        <f>INDEX(emprunts!P:P,MATCH($A1236,emprunts!$A:$A,0))</f>
        <v>Change</v>
      </c>
      <c r="G1236" s="126" t="str">
        <f>IF(LEFT(A1236,3)="vx_","vx",INDEX(Categorie,MATCH($A1236,emprunts!$A$2:$A$149,0)))</f>
        <v>Struct</v>
      </c>
      <c r="H1236">
        <v>2017</v>
      </c>
      <c r="I1236">
        <f t="shared" si="195"/>
        <v>1</v>
      </c>
      <c r="N1236"/>
      <c r="O1236" s="58">
        <v>0</v>
      </c>
      <c r="P1236" s="4">
        <v>2.9899999999999999E-2</v>
      </c>
      <c r="Q1236" s="58">
        <v>232037.99</v>
      </c>
      <c r="R1236" s="58">
        <v>299211.53999999998</v>
      </c>
      <c r="S1236" s="58"/>
      <c r="T1236" s="58">
        <v>0</v>
      </c>
      <c r="U1236" s="58">
        <f>SUM(Q1236:S1236)</f>
        <v>531249.53</v>
      </c>
      <c r="V1236" s="14">
        <f t="shared" si="198"/>
        <v>0</v>
      </c>
      <c r="W1236" s="77"/>
      <c r="X1236" s="85">
        <f t="shared" si="196"/>
        <v>7433000</v>
      </c>
      <c r="Y1236" s="21">
        <f t="shared" si="197"/>
        <v>3.0702014769535518E-2</v>
      </c>
      <c r="AA1236" s="55">
        <f t="shared" si="199"/>
        <v>193894.75999999998</v>
      </c>
      <c r="AB1236" s="55">
        <f t="shared" si="200"/>
        <v>475.54000000003725</v>
      </c>
      <c r="AC1236" s="55">
        <f t="shared" si="201"/>
        <v>6315375.7646027394</v>
      </c>
    </row>
    <row r="1237" spans="1:29">
      <c r="A1237" t="s">
        <v>261</v>
      </c>
      <c r="B1237" s="16" t="str">
        <f>INDEX(emprunts!C:C,MATCH($A1237,emprunts!A:A,0))</f>
        <v>Dexia CL</v>
      </c>
      <c r="C1237" s="18">
        <f>INDEX(emprunts!M:M,MATCH($A1237,emprunts!$A:$A,0))</f>
        <v>39783</v>
      </c>
      <c r="D1237" s="18">
        <f>IF(INDEX(emprunts!O:O,MATCH($A1237,emprunts!$A:$A,0))="",INDEX(emprunts!N:N,MATCH($A1237,emprunts!$A:$A,0)),MIN(INDEX(emprunts!N:N,MATCH($A1237,emprunts!$A:$A,0)),INDEX(emprunts!O:O,MATCH($A1237,emprunts!$A:$A,0))))</f>
        <v>40513</v>
      </c>
      <c r="E1237" s="52">
        <f>INDEX(emprunts!I:I,MATCH($A1237,emprunts!$A:$A,0))</f>
        <v>17</v>
      </c>
      <c r="F1237" s="18" t="str">
        <f>INDEX(emprunts!P:P,MATCH($A1237,emprunts!$A:$A,0))</f>
        <v>Change</v>
      </c>
      <c r="G1237" s="126" t="str">
        <f>IF(LEFT(A1237,3)="vx_","vx",INDEX(Categorie,MATCH($A1237,emprunts!$A$2:$A$149,0)))</f>
        <v>Struct</v>
      </c>
      <c r="H1237">
        <v>2017</v>
      </c>
      <c r="I1237">
        <f t="shared" si="195"/>
        <v>1</v>
      </c>
      <c r="N1237"/>
      <c r="O1237" s="58"/>
      <c r="Q1237" s="58"/>
      <c r="R1237" s="58"/>
      <c r="S1237" s="58"/>
      <c r="T1237" s="58"/>
      <c r="U1237" s="58"/>
      <c r="V1237" s="14" t="str">
        <f t="shared" si="198"/>
        <v/>
      </c>
      <c r="W1237" s="77"/>
      <c r="X1237" s="85">
        <f t="shared" si="196"/>
        <v>0</v>
      </c>
      <c r="Y1237" s="21" t="str">
        <f t="shared" si="197"/>
        <v/>
      </c>
      <c r="AA1237" s="55">
        <f t="shared" si="199"/>
        <v>0</v>
      </c>
      <c r="AB1237" s="55">
        <f t="shared" si="200"/>
        <v>0</v>
      </c>
      <c r="AC1237" s="55">
        <f t="shared" si="201"/>
        <v>0</v>
      </c>
    </row>
    <row r="1238" spans="1:29">
      <c r="A1238" t="s">
        <v>263</v>
      </c>
      <c r="B1238" s="16" t="str">
        <f>INDEX(emprunts!C:C,MATCH($A1238,emprunts!A:A,0))</f>
        <v>Dexia CL</v>
      </c>
      <c r="C1238" s="18">
        <f>INDEX(emprunts!M:M,MATCH($A1238,emprunts!$A:$A,0))</f>
        <v>39783</v>
      </c>
      <c r="D1238" s="18">
        <f>IF(INDEX(emprunts!O:O,MATCH($A1238,emprunts!$A:$A,0))="",INDEX(emprunts!N:N,MATCH($A1238,emprunts!$A:$A,0)),MIN(INDEX(emprunts!N:N,MATCH($A1238,emprunts!$A:$A,0)),INDEX(emprunts!O:O,MATCH($A1238,emprunts!$A:$A,0))))</f>
        <v>41244</v>
      </c>
      <c r="E1238" s="52">
        <f>INDEX(emprunts!I:I,MATCH($A1238,emprunts!$A:$A,0))</f>
        <v>25</v>
      </c>
      <c r="F1238" s="18" t="str">
        <f>INDEX(emprunts!P:P,MATCH($A1238,emprunts!$A:$A,0))</f>
        <v>Pente</v>
      </c>
      <c r="G1238" s="126" t="str">
        <f>IF(LEFT(A1238,3)="vx_","vx",INDEX(Categorie,MATCH($A1238,emprunts!$A$2:$A$149,0)))</f>
        <v>Struct</v>
      </c>
      <c r="H1238">
        <v>2017</v>
      </c>
      <c r="I1238">
        <f t="shared" si="195"/>
        <v>1</v>
      </c>
      <c r="N1238"/>
      <c r="O1238" s="58"/>
      <c r="Q1238" s="58"/>
      <c r="R1238" s="58"/>
      <c r="S1238" s="58"/>
      <c r="T1238" s="58"/>
      <c r="U1238" s="58"/>
      <c r="V1238" s="14" t="str">
        <f t="shared" si="198"/>
        <v/>
      </c>
      <c r="W1238" s="77"/>
      <c r="X1238" s="85">
        <f t="shared" si="196"/>
        <v>0</v>
      </c>
      <c r="Y1238" s="21" t="str">
        <f t="shared" si="197"/>
        <v/>
      </c>
      <c r="AA1238" s="55">
        <f t="shared" si="199"/>
        <v>0</v>
      </c>
      <c r="AB1238" s="55">
        <f t="shared" si="200"/>
        <v>0</v>
      </c>
      <c r="AC1238" s="55">
        <f t="shared" si="201"/>
        <v>0</v>
      </c>
    </row>
    <row r="1239" spans="1:29">
      <c r="A1239" t="s">
        <v>265</v>
      </c>
      <c r="B1239" s="16" t="str">
        <f>INDEX(emprunts!C:C,MATCH($A1239,emprunts!A:A,0))</f>
        <v>Dexia CL</v>
      </c>
      <c r="C1239" s="18">
        <f>INDEX(emprunts!M:M,MATCH($A1239,emprunts!$A:$A,0))</f>
        <v>39899</v>
      </c>
      <c r="D1239" s="18">
        <f>IF(INDEX(emprunts!O:O,MATCH($A1239,emprunts!$A:$A,0))="",INDEX(emprunts!N:N,MATCH($A1239,emprunts!$A:$A,0)),MIN(INDEX(emprunts!N:N,MATCH($A1239,emprunts!$A:$A,0)),INDEX(emprunts!O:O,MATCH($A1239,emprunts!$A:$A,0))))</f>
        <v>47209</v>
      </c>
      <c r="E1239" s="52">
        <f>INDEX(emprunts!I:I,MATCH($A1239,emprunts!$A:$A,0))</f>
        <v>20</v>
      </c>
      <c r="F1239" s="18" t="str">
        <f>INDEX(emprunts!P:P,MATCH($A1239,emprunts!$A:$A,0))</f>
        <v>Fixe</v>
      </c>
      <c r="G1239" s="126" t="str">
        <f>IF(LEFT(A1239,3)="vx_","vx",INDEX(Categorie,MATCH($A1239,emprunts!$A$2:$A$149,0)))</f>
        <v>Non_st</v>
      </c>
      <c r="H1239">
        <v>2017</v>
      </c>
      <c r="I1239">
        <f t="shared" si="195"/>
        <v>1</v>
      </c>
      <c r="N1239"/>
      <c r="O1239" s="58">
        <v>4078647</v>
      </c>
      <c r="P1239" s="4">
        <v>4.53E-2</v>
      </c>
      <c r="Q1239" s="58">
        <v>192838.35</v>
      </c>
      <c r="R1239" s="58">
        <v>265575.73</v>
      </c>
      <c r="S1239" s="58"/>
      <c r="T1239" s="58">
        <v>46188.42</v>
      </c>
      <c r="U1239" s="58">
        <f>SUM(Q1239:S1239)</f>
        <v>458414.07999999996</v>
      </c>
      <c r="V1239" s="14">
        <f t="shared" si="198"/>
        <v>0</v>
      </c>
      <c r="W1239" s="77"/>
      <c r="X1239" s="85">
        <f t="shared" si="196"/>
        <v>0</v>
      </c>
      <c r="Y1239" s="21">
        <f t="shared" si="197"/>
        <v>4.5198935624912805E-2</v>
      </c>
      <c r="AA1239" s="55">
        <f t="shared" si="199"/>
        <v>189830.86000000002</v>
      </c>
      <c r="AB1239" s="55">
        <f t="shared" si="200"/>
        <v>-0.26999999955296516</v>
      </c>
      <c r="AC1239" s="55">
        <f t="shared" si="201"/>
        <v>4199896.6872876715</v>
      </c>
    </row>
    <row r="1240" spans="1:29">
      <c r="A1240" t="s">
        <v>267</v>
      </c>
      <c r="B1240" s="16" t="str">
        <f>INDEX(emprunts!C:C,MATCH($A1240,emprunts!A:A,0))</f>
        <v>Société Générale</v>
      </c>
      <c r="C1240" s="18">
        <f>INDEX(emprunts!M:M,MATCH($A1240,emprunts!$A:$A,0))</f>
        <v>39904</v>
      </c>
      <c r="D1240" s="18">
        <f>IF(INDEX(emprunts!O:O,MATCH($A1240,emprunts!$A:$A,0))="",INDEX(emprunts!N:N,MATCH($A1240,emprunts!$A:$A,0)),MIN(INDEX(emprunts!N:N,MATCH($A1240,emprunts!$A:$A,0)),INDEX(emprunts!O:O,MATCH($A1240,emprunts!$A:$A,0))))</f>
        <v>40452</v>
      </c>
      <c r="E1240" s="52">
        <f>INDEX(emprunts!I:I,MATCH($A1240,emprunts!$A:$A,0))</f>
        <v>18</v>
      </c>
      <c r="F1240" s="18" t="str">
        <f>INDEX(emprunts!P:P,MATCH($A1240,emprunts!$A:$A,0))</f>
        <v>Change</v>
      </c>
      <c r="G1240" s="126" t="str">
        <f>IF(LEFT(A1240,3)="vx_","vx",INDEX(Categorie,MATCH($A1240,emprunts!$A$2:$A$149,0)))</f>
        <v>Struct</v>
      </c>
      <c r="H1240">
        <v>2017</v>
      </c>
      <c r="I1240">
        <f t="shared" si="195"/>
        <v>1</v>
      </c>
      <c r="N1240"/>
      <c r="O1240" s="58"/>
      <c r="Q1240" s="58"/>
      <c r="R1240" s="58"/>
      <c r="S1240" s="58"/>
      <c r="T1240" s="58"/>
      <c r="U1240" s="58"/>
      <c r="V1240" s="14" t="str">
        <f t="shared" si="198"/>
        <v/>
      </c>
      <c r="W1240" s="77"/>
      <c r="X1240" s="85">
        <f t="shared" si="196"/>
        <v>0</v>
      </c>
      <c r="Y1240" s="21" t="str">
        <f t="shared" si="197"/>
        <v/>
      </c>
      <c r="AA1240" s="55">
        <f t="shared" si="199"/>
        <v>0</v>
      </c>
      <c r="AB1240" s="55">
        <f t="shared" si="200"/>
        <v>0</v>
      </c>
      <c r="AC1240" s="55">
        <f t="shared" si="201"/>
        <v>0</v>
      </c>
    </row>
    <row r="1241" spans="1:29">
      <c r="A1241" t="s">
        <v>269</v>
      </c>
      <c r="B1241" s="16" t="str">
        <f>INDEX(emprunts!C:C,MATCH($A1241,emprunts!A:A,0))</f>
        <v>Dexia CL</v>
      </c>
      <c r="C1241" s="18">
        <f>INDEX(emprunts!M:M,MATCH($A1241,emprunts!$A:$A,0))</f>
        <v>40087</v>
      </c>
      <c r="D1241" s="18">
        <f>IF(INDEX(emprunts!O:O,MATCH($A1241,emprunts!$A:$A,0))="",INDEX(emprunts!N:N,MATCH($A1241,emprunts!$A:$A,0)),MIN(INDEX(emprunts!N:N,MATCH($A1241,emprunts!$A:$A,0)),INDEX(emprunts!O:O,MATCH($A1241,emprunts!$A:$A,0))))</f>
        <v>40452</v>
      </c>
      <c r="E1241" s="52">
        <f>INDEX(emprunts!I:I,MATCH($A1241,emprunts!$A:$A,0))</f>
        <v>16</v>
      </c>
      <c r="F1241" s="18" t="str">
        <f>INDEX(emprunts!P:P,MATCH($A1241,emprunts!$A:$A,0))</f>
        <v>Change</v>
      </c>
      <c r="G1241" s="126" t="str">
        <f>IF(LEFT(A1241,3)="vx_","vx",INDEX(Categorie,MATCH($A1241,emprunts!$A$2:$A$149,0)))</f>
        <v>Struct</v>
      </c>
      <c r="H1241">
        <v>2017</v>
      </c>
      <c r="I1241">
        <f t="shared" si="195"/>
        <v>1</v>
      </c>
      <c r="N1241"/>
      <c r="O1241" s="58"/>
      <c r="Q1241" s="58"/>
      <c r="R1241" s="58"/>
      <c r="S1241" s="58"/>
      <c r="T1241" s="58"/>
      <c r="U1241" s="58"/>
      <c r="V1241" s="14" t="str">
        <f t="shared" si="198"/>
        <v/>
      </c>
      <c r="W1241" s="77"/>
      <c r="X1241" s="85">
        <f t="shared" si="196"/>
        <v>0</v>
      </c>
      <c r="Y1241" s="21" t="str">
        <f t="shared" si="197"/>
        <v/>
      </c>
      <c r="AA1241" s="55">
        <f t="shared" si="199"/>
        <v>0</v>
      </c>
      <c r="AB1241" s="55">
        <f t="shared" si="200"/>
        <v>0</v>
      </c>
      <c r="AC1241" s="55">
        <f t="shared" si="201"/>
        <v>0</v>
      </c>
    </row>
    <row r="1242" spans="1:29">
      <c r="A1242" t="s">
        <v>270</v>
      </c>
      <c r="B1242" s="16" t="str">
        <f>INDEX(emprunts!C:C,MATCH($A1242,emprunts!A:A,0))</f>
        <v>Dexia CL</v>
      </c>
      <c r="C1242" s="18">
        <f>INDEX(emprunts!M:M,MATCH($A1242,emprunts!$A:$A,0))</f>
        <v>40118</v>
      </c>
      <c r="D1242" s="18">
        <f>IF(INDEX(emprunts!O:O,MATCH($A1242,emprunts!$A:$A,0))="",INDEX(emprunts!N:N,MATCH($A1242,emprunts!$A:$A,0)),MIN(INDEX(emprunts!N:N,MATCH($A1242,emprunts!$A:$A,0)),INDEX(emprunts!O:O,MATCH($A1242,emprunts!$A:$A,0))))</f>
        <v>43040</v>
      </c>
      <c r="E1242" s="52">
        <f>INDEX(emprunts!I:I,MATCH($A1242,emprunts!$A:$A,0))</f>
        <v>23</v>
      </c>
      <c r="F1242" s="18" t="str">
        <f>INDEX(emprunts!P:P,MATCH($A1242,emprunts!$A:$A,0))</f>
        <v>Pente</v>
      </c>
      <c r="G1242" s="126" t="str">
        <f>IF(LEFT(A1242,3)="vx_","vx",INDEX(Categorie,MATCH($A1242,emprunts!$A$2:$A$149,0)))</f>
        <v>Struct</v>
      </c>
      <c r="H1242">
        <v>2017</v>
      </c>
      <c r="I1242">
        <f t="shared" si="195"/>
        <v>1</v>
      </c>
      <c r="N1242"/>
      <c r="O1242" s="58">
        <v>0</v>
      </c>
      <c r="P1242" s="4">
        <v>3.78E-2</v>
      </c>
      <c r="Q1242" s="58">
        <v>376854.82</v>
      </c>
      <c r="R1242" s="58">
        <v>690542.22</v>
      </c>
      <c r="S1242" s="58"/>
      <c r="T1242" s="58">
        <v>0</v>
      </c>
      <c r="U1242" s="58">
        <f>SUM(Q1242:S1242)</f>
        <v>1067397.04</v>
      </c>
      <c r="V1242" s="14">
        <f t="shared" si="198"/>
        <v>0</v>
      </c>
      <c r="W1242" s="77"/>
      <c r="X1242" s="85">
        <f t="shared" si="196"/>
        <v>9248000</v>
      </c>
      <c r="Y1242" s="21">
        <f t="shared" si="197"/>
        <v>3.9412465958405675E-2</v>
      </c>
      <c r="AA1242" s="55">
        <f t="shared" si="199"/>
        <v>314906.08</v>
      </c>
      <c r="AB1242" s="55">
        <f t="shared" si="200"/>
        <v>242.22000000067055</v>
      </c>
      <c r="AC1242" s="55">
        <f t="shared" si="201"/>
        <v>7990012.1025753422</v>
      </c>
    </row>
    <row r="1243" spans="1:29">
      <c r="A1243" t="s">
        <v>272</v>
      </c>
      <c r="B1243" s="16" t="str">
        <f>INDEX(emprunts!C:C,MATCH($A1243,emprunts!A:A,0))</f>
        <v>Dexia CL</v>
      </c>
      <c r="C1243" s="18">
        <f>INDEX(emprunts!M:M,MATCH($A1243,emprunts!$A:$A,0))</f>
        <v>40133</v>
      </c>
      <c r="D1243" s="18">
        <f>IF(INDEX(emprunts!O:O,MATCH($A1243,emprunts!$A:$A,0))="",INDEX(emprunts!N:N,MATCH($A1243,emprunts!$A:$A,0)),MIN(INDEX(emprunts!N:N,MATCH($A1243,emprunts!$A:$A,0)),INDEX(emprunts!O:O,MATCH($A1243,emprunts!$A:$A,0))))</f>
        <v>40878</v>
      </c>
      <c r="E1243" s="52">
        <f>INDEX(emprunts!I:I,MATCH($A1243,emprunts!$A:$A,0))</f>
        <v>25</v>
      </c>
      <c r="F1243" s="18" t="str">
        <f>INDEX(emprunts!P:P,MATCH($A1243,emprunts!$A:$A,0))</f>
        <v>Variable</v>
      </c>
      <c r="G1243" s="126" t="str">
        <f>IF(LEFT(A1243,3)="vx_","vx",INDEX(Categorie,MATCH($A1243,emprunts!$A$2:$A$149,0)))</f>
        <v>Non_st</v>
      </c>
      <c r="H1243">
        <v>2017</v>
      </c>
      <c r="I1243">
        <f t="shared" si="195"/>
        <v>1</v>
      </c>
      <c r="N1243"/>
      <c r="O1243" s="58"/>
      <c r="Q1243" s="58"/>
      <c r="R1243" s="58"/>
      <c r="S1243" s="58"/>
      <c r="T1243" s="58"/>
      <c r="U1243" s="58"/>
      <c r="V1243" s="14" t="str">
        <f t="shared" si="198"/>
        <v/>
      </c>
      <c r="W1243" s="77"/>
      <c r="X1243" s="85">
        <f t="shared" si="196"/>
        <v>0</v>
      </c>
      <c r="Y1243" s="21" t="str">
        <f t="shared" si="197"/>
        <v/>
      </c>
      <c r="AA1243" s="55">
        <f t="shared" si="199"/>
        <v>0</v>
      </c>
      <c r="AB1243" s="55">
        <f t="shared" si="200"/>
        <v>0</v>
      </c>
      <c r="AC1243" s="55">
        <f t="shared" si="201"/>
        <v>0</v>
      </c>
    </row>
    <row r="1244" spans="1:29" ht="30">
      <c r="A1244" t="s">
        <v>274</v>
      </c>
      <c r="B1244" s="16" t="str">
        <f>INDEX(emprunts!C:C,MATCH($A1244,emprunts!A:A,0))</f>
        <v>Caisse d'Épargne</v>
      </c>
      <c r="C1244" s="18">
        <f>INDEX(emprunts!M:M,MATCH($A1244,emprunts!$A:$A,0))</f>
        <v>40142</v>
      </c>
      <c r="D1244" s="18">
        <f>IF(INDEX(emprunts!O:O,MATCH($A1244,emprunts!$A:$A,0))="",INDEX(emprunts!N:N,MATCH($A1244,emprunts!$A:$A,0)),MIN(INDEX(emprunts!N:N,MATCH($A1244,emprunts!$A:$A,0)),INDEX(emprunts!O:O,MATCH($A1244,emprunts!$A:$A,0))))</f>
        <v>46351</v>
      </c>
      <c r="E1244" s="52">
        <f>INDEX(emprunts!I:I,MATCH($A1244,emprunts!$A:$A,0))</f>
        <v>17</v>
      </c>
      <c r="F1244" s="18" t="str">
        <f>INDEX(emprunts!P:P,MATCH($A1244,emprunts!$A:$A,0))</f>
        <v>Fixe</v>
      </c>
      <c r="G1244" s="126" t="str">
        <f>IF(LEFT(A1244,3)="vx_","vx",INDEX(Categorie,MATCH($A1244,emprunts!$A$2:$A$149,0)))</f>
        <v>Restr_sec</v>
      </c>
      <c r="H1244">
        <v>2017</v>
      </c>
      <c r="I1244">
        <f t="shared" si="195"/>
        <v>1</v>
      </c>
      <c r="N1244"/>
      <c r="O1244" s="58">
        <v>2675168</v>
      </c>
      <c r="P1244" s="4">
        <v>4.7500000000000001E-2</v>
      </c>
      <c r="Q1244" s="58">
        <v>139358.28</v>
      </c>
      <c r="R1244" s="58">
        <v>249284.32</v>
      </c>
      <c r="S1244" s="58"/>
      <c r="T1244" s="58">
        <v>12573.29</v>
      </c>
      <c r="U1244" s="58">
        <f>SUM(Q1244:S1244)</f>
        <v>388642.6</v>
      </c>
      <c r="V1244" s="14">
        <f t="shared" si="198"/>
        <v>0</v>
      </c>
      <c r="W1244" s="77"/>
      <c r="X1244" s="85">
        <f t="shared" si="196"/>
        <v>0</v>
      </c>
      <c r="Y1244" s="21">
        <f t="shared" si="197"/>
        <v>4.9491310377405597E-2</v>
      </c>
      <c r="AA1244" s="55">
        <f t="shared" si="199"/>
        <v>138186.64000000001</v>
      </c>
      <c r="AB1244" s="55">
        <f t="shared" si="200"/>
        <v>0.31999999983236194</v>
      </c>
      <c r="AC1244" s="55">
        <f t="shared" si="201"/>
        <v>2792139.4472328769</v>
      </c>
    </row>
    <row r="1245" spans="1:29">
      <c r="A1245" t="s">
        <v>276</v>
      </c>
      <c r="B1245" s="16" t="str">
        <f>INDEX(emprunts!C:C,MATCH($A1245,emprunts!A:A,0))</f>
        <v>Arkea</v>
      </c>
      <c r="C1245" s="18">
        <f>INDEX(emprunts!M:M,MATCH($A1245,emprunts!$A:$A,0))</f>
        <v>40168</v>
      </c>
      <c r="D1245" s="18">
        <f>IF(INDEX(emprunts!O:O,MATCH($A1245,emprunts!$A:$A,0))="",INDEX(emprunts!N:N,MATCH($A1245,emprunts!$A:$A,0)),MIN(INDEX(emprunts!N:N,MATCH($A1245,emprunts!$A:$A,0)),INDEX(emprunts!O:O,MATCH($A1245,emprunts!$A:$A,0))))</f>
        <v>47786</v>
      </c>
      <c r="E1245" s="52">
        <f>INDEX(emprunts!I:I,MATCH($A1245,emprunts!$A:$A,0))</f>
        <v>20</v>
      </c>
      <c r="F1245" s="18" t="str">
        <f>INDEX(emprunts!P:P,MATCH($A1245,emprunts!$A:$A,0))</f>
        <v>Variable</v>
      </c>
      <c r="G1245" s="126" t="str">
        <f>IF(LEFT(A1245,3)="vx_","vx",INDEX(Categorie,MATCH($A1245,emprunts!$A$2:$A$149,0)))</f>
        <v>Non_st</v>
      </c>
      <c r="H1245">
        <v>2017</v>
      </c>
      <c r="I1245">
        <f t="shared" si="195"/>
        <v>1</v>
      </c>
      <c r="N1245"/>
      <c r="O1245" s="58"/>
      <c r="Q1245" s="58"/>
      <c r="R1245" s="58"/>
      <c r="S1245" s="58"/>
      <c r="T1245" s="58"/>
      <c r="U1245" s="58"/>
      <c r="V1245" s="14" t="str">
        <f t="shared" si="198"/>
        <v/>
      </c>
      <c r="W1245" s="77"/>
      <c r="X1245" s="85">
        <f t="shared" si="196"/>
        <v>0</v>
      </c>
      <c r="Y1245" s="21" t="str">
        <f t="shared" si="197"/>
        <v/>
      </c>
      <c r="AA1245" s="55">
        <f t="shared" si="199"/>
        <v>0</v>
      </c>
      <c r="AB1245" s="55">
        <f t="shared" si="200"/>
        <v>0</v>
      </c>
      <c r="AC1245" s="55">
        <f t="shared" si="201"/>
        <v>0</v>
      </c>
    </row>
    <row r="1246" spans="1:29">
      <c r="A1246" t="s">
        <v>284</v>
      </c>
      <c r="B1246" s="16" t="str">
        <f>INDEX(emprunts!C:C,MATCH($A1246,emprunts!A:A,0))</f>
        <v>Société Générale</v>
      </c>
      <c r="C1246" s="18">
        <f>INDEX(emprunts!M:M,MATCH($A1246,emprunts!$A:$A,0))</f>
        <v>40452</v>
      </c>
      <c r="D1246" s="18">
        <f>IF(INDEX(emprunts!O:O,MATCH($A1246,emprunts!$A:$A,0))="",INDEX(emprunts!N:N,MATCH($A1246,emprunts!$A:$A,0)),MIN(INDEX(emprunts!N:N,MATCH($A1246,emprunts!$A:$A,0)),INDEX(emprunts!O:O,MATCH($A1246,emprunts!$A:$A,0))))</f>
        <v>41640</v>
      </c>
      <c r="E1246" s="52">
        <f>INDEX(emprunts!I:I,MATCH($A1246,emprunts!$A:$A,0))</f>
        <v>25</v>
      </c>
      <c r="F1246" s="18" t="str">
        <f>INDEX(emprunts!P:P,MATCH($A1246,emprunts!$A:$A,0))</f>
        <v>Barrière avec multiplicateur</v>
      </c>
      <c r="G1246" s="126" t="str">
        <f>IF(LEFT(A1246,3)="vx_","vx",INDEX(Categorie,MATCH($A1246,emprunts!$A$2:$A$149,0)))</f>
        <v>Struct</v>
      </c>
      <c r="H1246">
        <v>2017</v>
      </c>
      <c r="I1246">
        <f t="shared" si="195"/>
        <v>1</v>
      </c>
      <c r="N1246"/>
      <c r="O1246" s="58"/>
      <c r="Q1246" s="58"/>
      <c r="R1246" s="58"/>
      <c r="S1246" s="58"/>
      <c r="T1246" s="58"/>
      <c r="U1246" s="58"/>
      <c r="V1246" s="14" t="str">
        <f t="shared" si="198"/>
        <v/>
      </c>
      <c r="W1246" s="77"/>
      <c r="X1246" s="85">
        <f t="shared" si="196"/>
        <v>0</v>
      </c>
      <c r="Y1246" s="21" t="str">
        <f t="shared" si="197"/>
        <v/>
      </c>
      <c r="AA1246" s="55">
        <f t="shared" si="199"/>
        <v>0</v>
      </c>
      <c r="AB1246" s="55">
        <f t="shared" si="200"/>
        <v>0</v>
      </c>
      <c r="AC1246" s="55">
        <f t="shared" si="201"/>
        <v>0</v>
      </c>
    </row>
    <row r="1247" spans="1:29">
      <c r="A1247" t="s">
        <v>286</v>
      </c>
      <c r="B1247" s="16" t="str">
        <f>INDEX(emprunts!C:C,MATCH($A1247,emprunts!A:A,0))</f>
        <v>Dexia CL</v>
      </c>
      <c r="C1247" s="18">
        <f>INDEX(emprunts!M:M,MATCH($A1247,emprunts!$A:$A,0))</f>
        <v>40179</v>
      </c>
      <c r="D1247" s="18">
        <f>IF(INDEX(emprunts!O:O,MATCH($A1247,emprunts!$A:$A,0))="",INDEX(emprunts!N:N,MATCH($A1247,emprunts!$A:$A,0)),MIN(INDEX(emprunts!N:N,MATCH($A1247,emprunts!$A:$A,0)),INDEX(emprunts!O:O,MATCH($A1247,emprunts!$A:$A,0))))</f>
        <v>40848</v>
      </c>
      <c r="E1247" s="52">
        <f>INDEX(emprunts!I:I,MATCH($A1247,emprunts!$A:$A,0))</f>
        <v>23</v>
      </c>
      <c r="F1247" s="18" t="str">
        <f>INDEX(emprunts!P:P,MATCH($A1247,emprunts!$A:$A,0))</f>
        <v>Barrière avec multiplicateur</v>
      </c>
      <c r="G1247" s="126" t="str">
        <f>IF(LEFT(A1247,3)="vx_","vx",INDEX(Categorie,MATCH($A1247,emprunts!$A$2:$A$149,0)))</f>
        <v>Struct</v>
      </c>
      <c r="H1247">
        <v>2017</v>
      </c>
      <c r="I1247">
        <f t="shared" si="195"/>
        <v>1</v>
      </c>
      <c r="N1247"/>
      <c r="O1247" s="58"/>
      <c r="Q1247" s="58"/>
      <c r="R1247" s="58"/>
      <c r="S1247" s="58"/>
      <c r="T1247" s="58"/>
      <c r="U1247" s="58"/>
      <c r="V1247" s="14" t="str">
        <f t="shared" si="198"/>
        <v/>
      </c>
      <c r="W1247" s="77"/>
      <c r="X1247" s="85">
        <f t="shared" si="196"/>
        <v>0</v>
      </c>
      <c r="Y1247" s="21" t="str">
        <f t="shared" si="197"/>
        <v/>
      </c>
      <c r="AA1247" s="55">
        <f t="shared" si="199"/>
        <v>0</v>
      </c>
      <c r="AB1247" s="55">
        <f t="shared" si="200"/>
        <v>0</v>
      </c>
      <c r="AC1247" s="55">
        <f t="shared" si="201"/>
        <v>0</v>
      </c>
    </row>
    <row r="1248" spans="1:29">
      <c r="A1248" t="s">
        <v>288</v>
      </c>
      <c r="B1248" s="16" t="str">
        <f>INDEX(emprunts!C:C,MATCH($A1248,emprunts!A:A,0))</f>
        <v>Société Générale</v>
      </c>
      <c r="C1248" s="18">
        <f>INDEX(emprunts!M:M,MATCH($A1248,emprunts!$A:$A,0))</f>
        <v>40452</v>
      </c>
      <c r="D1248" s="18">
        <f>IF(INDEX(emprunts!O:O,MATCH($A1248,emprunts!$A:$A,0))="",INDEX(emprunts!N:N,MATCH($A1248,emprunts!$A:$A,0)),MIN(INDEX(emprunts!N:N,MATCH($A1248,emprunts!$A:$A,0)),INDEX(emprunts!O:O,MATCH($A1248,emprunts!$A:$A,0))))</f>
        <v>41730</v>
      </c>
      <c r="E1248" s="52">
        <f>INDEX(emprunts!I:I,MATCH($A1248,emprunts!$A:$A,0))</f>
        <v>25</v>
      </c>
      <c r="F1248" s="18" t="str">
        <f>INDEX(emprunts!P:P,MATCH($A1248,emprunts!$A:$A,0))</f>
        <v>Barrière avec multiplicateur</v>
      </c>
      <c r="G1248" s="126" t="str">
        <f>IF(LEFT(A1248,3)="vx_","vx",INDEX(Categorie,MATCH($A1248,emprunts!$A$2:$A$149,0)))</f>
        <v>Struct</v>
      </c>
      <c r="H1248">
        <v>2017</v>
      </c>
      <c r="I1248">
        <f t="shared" si="195"/>
        <v>1</v>
      </c>
      <c r="N1248"/>
      <c r="O1248" s="58"/>
      <c r="Q1248" s="58"/>
      <c r="R1248" s="58"/>
      <c r="S1248" s="58"/>
      <c r="T1248" s="58"/>
      <c r="U1248" s="58"/>
      <c r="V1248" s="14" t="str">
        <f t="shared" si="198"/>
        <v/>
      </c>
      <c r="W1248" s="77"/>
      <c r="X1248" s="85">
        <f t="shared" si="196"/>
        <v>0</v>
      </c>
      <c r="Y1248" s="21" t="str">
        <f t="shared" si="197"/>
        <v/>
      </c>
      <c r="AA1248" s="55">
        <f t="shared" si="199"/>
        <v>0</v>
      </c>
      <c r="AB1248" s="55">
        <f t="shared" si="200"/>
        <v>0</v>
      </c>
      <c r="AC1248" s="55">
        <f t="shared" si="201"/>
        <v>0</v>
      </c>
    </row>
    <row r="1249" spans="1:29">
      <c r="A1249" t="s">
        <v>289</v>
      </c>
      <c r="B1249" s="16" t="str">
        <f>INDEX(emprunts!C:C,MATCH($A1249,emprunts!A:A,0))</f>
        <v>Dexia CL</v>
      </c>
      <c r="C1249" s="18">
        <f>INDEX(emprunts!M:M,MATCH($A1249,emprunts!$A:$A,0))</f>
        <v>40299</v>
      </c>
      <c r="D1249" s="18">
        <f>IF(INDEX(emprunts!O:O,MATCH($A1249,emprunts!$A:$A,0))="",INDEX(emprunts!N:N,MATCH($A1249,emprunts!$A:$A,0)),MIN(INDEX(emprunts!N:N,MATCH($A1249,emprunts!$A:$A,0)),INDEX(emprunts!O:O,MATCH($A1249,emprunts!$A:$A,0))))</f>
        <v>40737</v>
      </c>
      <c r="E1249" s="52">
        <f>INDEX(emprunts!I:I,MATCH($A1249,emprunts!$A:$A,0))</f>
        <v>19</v>
      </c>
      <c r="F1249" s="18" t="str">
        <f>INDEX(emprunts!P:P,MATCH($A1249,emprunts!$A:$A,0))</f>
        <v>Barrière avec multiplicateur</v>
      </c>
      <c r="G1249" s="126" t="str">
        <f>IF(LEFT(A1249,3)="vx_","vx",INDEX(Categorie,MATCH($A1249,emprunts!$A$2:$A$149,0)))</f>
        <v>Struct</v>
      </c>
      <c r="H1249">
        <v>2017</v>
      </c>
      <c r="I1249">
        <f t="shared" si="195"/>
        <v>1</v>
      </c>
      <c r="N1249"/>
      <c r="O1249" s="58"/>
      <c r="Q1249" s="58"/>
      <c r="R1249" s="58"/>
      <c r="S1249" s="58"/>
      <c r="T1249" s="58"/>
      <c r="U1249" s="58"/>
      <c r="V1249" s="14" t="str">
        <f t="shared" si="198"/>
        <v/>
      </c>
      <c r="W1249" s="77"/>
      <c r="X1249" s="85">
        <f t="shared" si="196"/>
        <v>0</v>
      </c>
      <c r="Y1249" s="21" t="str">
        <f t="shared" si="197"/>
        <v/>
      </c>
      <c r="AA1249" s="55">
        <f t="shared" si="199"/>
        <v>0</v>
      </c>
      <c r="AB1249" s="55">
        <f t="shared" si="200"/>
        <v>0</v>
      </c>
      <c r="AC1249" s="55">
        <f t="shared" si="201"/>
        <v>0</v>
      </c>
    </row>
    <row r="1250" spans="1:29">
      <c r="A1250" t="s">
        <v>300</v>
      </c>
      <c r="B1250" s="16" t="str">
        <f>INDEX(emprunts!C:C,MATCH($A1250,emprunts!A:A,0))</f>
        <v>Dexia CL</v>
      </c>
      <c r="C1250" s="18">
        <f>INDEX(emprunts!M:M,MATCH($A1250,emprunts!$A:$A,0))</f>
        <v>40452</v>
      </c>
      <c r="D1250" s="18">
        <f>IF(INDEX(emprunts!O:O,MATCH($A1250,emprunts!$A:$A,0))="",INDEX(emprunts!N:N,MATCH($A1250,emprunts!$A:$A,0)),MIN(INDEX(emprunts!N:N,MATCH($A1250,emprunts!$A:$A,0)),INDEX(emprunts!O:O,MATCH($A1250,emprunts!$A:$A,0))))</f>
        <v>40664</v>
      </c>
      <c r="E1250" s="52">
        <f>INDEX(emprunts!I:I,MATCH($A1250,emprunts!$A:$A,0))</f>
        <v>12</v>
      </c>
      <c r="F1250" s="18" t="str">
        <f>INDEX(emprunts!P:P,MATCH($A1250,emprunts!$A:$A,0))</f>
        <v>Change</v>
      </c>
      <c r="G1250" s="126" t="str">
        <f>IF(LEFT(A1250,3)="vx_","vx",INDEX(Categorie,MATCH($A1250,emprunts!$A$2:$A$149,0)))</f>
        <v>Struct</v>
      </c>
      <c r="H1250">
        <v>2017</v>
      </c>
      <c r="I1250">
        <f t="shared" si="195"/>
        <v>1</v>
      </c>
      <c r="N1250"/>
      <c r="O1250" s="58"/>
      <c r="Q1250" s="58"/>
      <c r="R1250" s="58"/>
      <c r="S1250" s="58"/>
      <c r="T1250" s="58"/>
      <c r="U1250" s="58"/>
      <c r="V1250" s="14" t="str">
        <f t="shared" si="198"/>
        <v/>
      </c>
      <c r="W1250" s="77"/>
      <c r="X1250" s="85">
        <f t="shared" si="196"/>
        <v>0</v>
      </c>
      <c r="Y1250" s="21" t="str">
        <f t="shared" si="197"/>
        <v/>
      </c>
      <c r="AA1250" s="55">
        <f t="shared" si="199"/>
        <v>0</v>
      </c>
      <c r="AB1250" s="55">
        <f t="shared" si="200"/>
        <v>0</v>
      </c>
      <c r="AC1250" s="55">
        <f t="shared" si="201"/>
        <v>0</v>
      </c>
    </row>
    <row r="1251" spans="1:29">
      <c r="A1251" t="s">
        <v>302</v>
      </c>
      <c r="B1251" s="16" t="str">
        <f>INDEX(emprunts!C:C,MATCH($A1251,emprunts!A:A,0))</f>
        <v>Dexia CL</v>
      </c>
      <c r="C1251" s="18">
        <f>INDEX(emprunts!M:M,MATCH($A1251,emprunts!$A:$A,0))</f>
        <v>40384</v>
      </c>
      <c r="D1251" s="18">
        <f>IF(INDEX(emprunts!O:O,MATCH($A1251,emprunts!$A:$A,0))="",INDEX(emprunts!N:N,MATCH($A1251,emprunts!$A:$A,0)),MIN(INDEX(emprunts!N:N,MATCH($A1251,emprunts!$A:$A,0)),INDEX(emprunts!O:O,MATCH($A1251,emprunts!$A:$A,0))))</f>
        <v>45901</v>
      </c>
      <c r="E1251" s="52">
        <f>INDEX(emprunts!I:I,MATCH($A1251,emprunts!$A:$A,0))</f>
        <v>15</v>
      </c>
      <c r="F1251" s="18" t="str">
        <f>INDEX(emprunts!P:P,MATCH($A1251,emprunts!$A:$A,0))</f>
        <v>Fixe</v>
      </c>
      <c r="G1251" s="126" t="str">
        <f>IF(LEFT(A1251,3)="vx_","vx",INDEX(Categorie,MATCH($A1251,emprunts!$A$2:$A$149,0)))</f>
        <v>Non_st</v>
      </c>
      <c r="H1251">
        <v>2017</v>
      </c>
      <c r="I1251">
        <f t="shared" si="195"/>
        <v>1</v>
      </c>
      <c r="N1251"/>
      <c r="O1251" s="58">
        <v>417363</v>
      </c>
      <c r="P1251" s="4">
        <v>2.1299999999999999E-2</v>
      </c>
      <c r="Q1251" s="58">
        <v>9588.66</v>
      </c>
      <c r="R1251" s="58">
        <v>48997.42</v>
      </c>
      <c r="S1251" s="58"/>
      <c r="T1251" s="58">
        <v>719.49</v>
      </c>
      <c r="U1251" s="58">
        <f>SUM(Q1251:S1251)</f>
        <v>58586.080000000002</v>
      </c>
      <c r="V1251" s="14">
        <f t="shared" si="198"/>
        <v>0</v>
      </c>
      <c r="W1251" s="77"/>
      <c r="X1251" s="85">
        <f t="shared" si="196"/>
        <v>0</v>
      </c>
      <c r="Y1251" s="21">
        <f t="shared" si="197"/>
        <v>2.1568536544070403E-2</v>
      </c>
      <c r="AA1251" s="55">
        <f t="shared" si="199"/>
        <v>9504.1999999999989</v>
      </c>
      <c r="AB1251" s="55">
        <f t="shared" si="200"/>
        <v>-0.58000000001629815</v>
      </c>
      <c r="AC1251" s="55">
        <f t="shared" si="201"/>
        <v>440651.12997260276</v>
      </c>
    </row>
    <row r="1252" spans="1:29" ht="30">
      <c r="A1252" t="s">
        <v>304</v>
      </c>
      <c r="B1252" s="16" t="str">
        <f>INDEX(emprunts!C:C,MATCH($A1252,emprunts!A:A,0))</f>
        <v>Société Générale</v>
      </c>
      <c r="C1252" s="18">
        <f>INDEX(emprunts!M:M,MATCH($A1252,emprunts!$A:$A,0))</f>
        <v>40422</v>
      </c>
      <c r="D1252" s="18">
        <f>IF(INDEX(emprunts!O:O,MATCH($A1252,emprunts!$A:$A,0))="",INDEX(emprunts!N:N,MATCH($A1252,emprunts!$A:$A,0)),MIN(INDEX(emprunts!N:N,MATCH($A1252,emprunts!$A:$A,0)),INDEX(emprunts!O:O,MATCH($A1252,emprunts!$A:$A,0))))</f>
        <v>47818</v>
      </c>
      <c r="E1252" s="52">
        <f>INDEX(emprunts!I:I,MATCH($A1252,emprunts!$A:$A,0))</f>
        <v>20</v>
      </c>
      <c r="F1252" s="18" t="str">
        <f>INDEX(emprunts!P:P,MATCH($A1252,emprunts!$A:$A,0))</f>
        <v>Fixe</v>
      </c>
      <c r="G1252" s="126" t="str">
        <f>IF(LEFT(A1252,3)="vx_","vx",INDEX(Categorie,MATCH($A1252,emprunts!$A$2:$A$149,0)))</f>
        <v>Restr_sec</v>
      </c>
      <c r="H1252">
        <v>2017</v>
      </c>
      <c r="I1252">
        <f t="shared" ref="I1252:I1313" si="202">1*(C1252&lt;DATE(H1252,12,31))</f>
        <v>1</v>
      </c>
      <c r="N1252"/>
      <c r="O1252" s="58">
        <v>1349497</v>
      </c>
      <c r="P1252" s="4">
        <v>4.3799999999999999E-2</v>
      </c>
      <c r="Q1252" s="58">
        <v>61636.02</v>
      </c>
      <c r="R1252" s="58">
        <v>72558.929999999993</v>
      </c>
      <c r="S1252" s="58"/>
      <c r="T1252" s="58">
        <v>4869.4399999999996</v>
      </c>
      <c r="U1252" s="58">
        <f>SUM(Q1252:S1252)</f>
        <v>134194.94999999998</v>
      </c>
      <c r="V1252" s="14">
        <f t="shared" si="198"/>
        <v>0</v>
      </c>
      <c r="W1252" s="77"/>
      <c r="X1252" s="85">
        <f t="shared" ref="X1252:X1313" si="203">SUMPRODUCT((De=$A1252)*(année_refi=$H1252),Montant_transfere)</f>
        <v>0</v>
      </c>
      <c r="Y1252" s="21">
        <f t="shared" si="197"/>
        <v>4.4410351901187001E-2</v>
      </c>
      <c r="AA1252" s="55">
        <f t="shared" si="199"/>
        <v>61374.209999999992</v>
      </c>
      <c r="AB1252" s="55">
        <f t="shared" si="200"/>
        <v>-7.000000006519258E-2</v>
      </c>
      <c r="AC1252" s="55">
        <f t="shared" si="201"/>
        <v>1381979.817150685</v>
      </c>
    </row>
    <row r="1253" spans="1:29">
      <c r="A1253" t="s">
        <v>306</v>
      </c>
      <c r="B1253" s="16" t="str">
        <f>INDEX(emprunts!C:C,MATCH($A1253,emprunts!A:A,0))</f>
        <v>Dexia CL</v>
      </c>
      <c r="C1253" s="18">
        <f>INDEX(emprunts!M:M,MATCH($A1253,emprunts!$A:$A,0))</f>
        <v>40452</v>
      </c>
      <c r="D1253" s="18">
        <f>IF(INDEX(emprunts!O:O,MATCH($A1253,emprunts!$A:$A,0))="",INDEX(emprunts!N:N,MATCH($A1253,emprunts!$A:$A,0)),MIN(INDEX(emprunts!N:N,MATCH($A1253,emprunts!$A:$A,0)),INDEX(emprunts!O:O,MATCH($A1253,emprunts!$A:$A,0))))</f>
        <v>41030</v>
      </c>
      <c r="E1253" s="52">
        <f>INDEX(emprunts!I:I,MATCH($A1253,emprunts!$A:$A,0))</f>
        <v>15</v>
      </c>
      <c r="F1253" s="18" t="str">
        <f>INDEX(emprunts!P:P,MATCH($A1253,emprunts!$A:$A,0))</f>
        <v>Change</v>
      </c>
      <c r="G1253" s="126" t="str">
        <f>IF(LEFT(A1253,3)="vx_","vx",INDEX(Categorie,MATCH($A1253,emprunts!$A$2:$A$149,0)))</f>
        <v>Struct</v>
      </c>
      <c r="H1253">
        <v>2017</v>
      </c>
      <c r="I1253">
        <f t="shared" si="202"/>
        <v>1</v>
      </c>
      <c r="N1253"/>
      <c r="O1253" s="58"/>
      <c r="Q1253" s="58"/>
      <c r="R1253" s="58"/>
      <c r="S1253" s="58"/>
      <c r="T1253" s="58"/>
      <c r="U1253" s="58"/>
      <c r="V1253" s="14" t="str">
        <f t="shared" si="198"/>
        <v/>
      </c>
      <c r="W1253" s="77"/>
      <c r="X1253" s="85">
        <f t="shared" si="203"/>
        <v>0</v>
      </c>
      <c r="Y1253" s="21" t="str">
        <f t="shared" si="197"/>
        <v/>
      </c>
      <c r="AA1253" s="55">
        <f t="shared" si="199"/>
        <v>0</v>
      </c>
      <c r="AB1253" s="55">
        <f t="shared" si="200"/>
        <v>0</v>
      </c>
      <c r="AC1253" s="55">
        <f t="shared" si="201"/>
        <v>0</v>
      </c>
    </row>
    <row r="1254" spans="1:29">
      <c r="A1254" t="s">
        <v>311</v>
      </c>
      <c r="B1254" s="16" t="str">
        <f>INDEX(emprunts!C:C,MATCH($A1254,emprunts!A:A,0))</f>
        <v>Dexia CL</v>
      </c>
      <c r="C1254" s="18">
        <f>INDEX(emprunts!M:M,MATCH($A1254,emprunts!$A:$A,0))</f>
        <v>40513</v>
      </c>
      <c r="D1254" s="18">
        <f>IF(INDEX(emprunts!O:O,MATCH($A1254,emprunts!$A:$A,0))="",INDEX(emprunts!N:N,MATCH($A1254,emprunts!$A:$A,0)),MIN(INDEX(emprunts!N:N,MATCH($A1254,emprunts!$A:$A,0)),INDEX(emprunts!O:O,MATCH($A1254,emprunts!$A:$A,0))))</f>
        <v>40878</v>
      </c>
      <c r="E1254" s="52">
        <f>INDEX(emprunts!I:I,MATCH($A1254,emprunts!$A:$A,0))</f>
        <v>17</v>
      </c>
      <c r="F1254" s="18" t="str">
        <f>INDEX(emprunts!P:P,MATCH($A1254,emprunts!$A:$A,0))</f>
        <v>Change</v>
      </c>
      <c r="G1254" s="126" t="str">
        <f>IF(LEFT(A1254,3)="vx_","vx",INDEX(Categorie,MATCH($A1254,emprunts!$A$2:$A$149,0)))</f>
        <v>Struct</v>
      </c>
      <c r="H1254">
        <v>2017</v>
      </c>
      <c r="I1254">
        <f t="shared" si="202"/>
        <v>1</v>
      </c>
      <c r="N1254"/>
      <c r="O1254" s="58"/>
      <c r="Q1254" s="58"/>
      <c r="R1254" s="58"/>
      <c r="S1254" s="58"/>
      <c r="T1254" s="58"/>
      <c r="U1254" s="58"/>
      <c r="V1254" s="14" t="str">
        <f t="shared" si="198"/>
        <v/>
      </c>
      <c r="W1254" s="77"/>
      <c r="X1254" s="85">
        <f t="shared" si="203"/>
        <v>0</v>
      </c>
      <c r="Y1254" s="21" t="str">
        <f t="shared" si="197"/>
        <v/>
      </c>
      <c r="AA1254" s="55">
        <f t="shared" si="199"/>
        <v>0</v>
      </c>
      <c r="AB1254" s="55">
        <f t="shared" si="200"/>
        <v>0</v>
      </c>
      <c r="AC1254" s="55">
        <f t="shared" si="201"/>
        <v>0</v>
      </c>
    </row>
    <row r="1255" spans="1:29" ht="30">
      <c r="A1255" t="s">
        <v>313</v>
      </c>
      <c r="B1255" s="16" t="str">
        <f>INDEX(emprunts!C:C,MATCH($A1255,emprunts!A:A,0))</f>
        <v>Société Générale</v>
      </c>
      <c r="C1255" s="18">
        <f>INDEX(emprunts!M:M,MATCH($A1255,emprunts!$A:$A,0))</f>
        <v>40513</v>
      </c>
      <c r="D1255" s="18">
        <f>IF(INDEX(emprunts!O:O,MATCH($A1255,emprunts!$A:$A,0))="",INDEX(emprunts!N:N,MATCH($A1255,emprunts!$A:$A,0)),MIN(INDEX(emprunts!N:N,MATCH($A1255,emprunts!$A:$A,0)),INDEX(emprunts!O:O,MATCH($A1255,emprunts!$A:$A,0))))</f>
        <v>47818</v>
      </c>
      <c r="E1255" s="52">
        <f>INDEX(emprunts!I:I,MATCH($A1255,emprunts!$A:$A,0))</f>
        <v>20</v>
      </c>
      <c r="F1255" s="18" t="str">
        <f>INDEX(emprunts!P:P,MATCH($A1255,emprunts!$A:$A,0))</f>
        <v>Fixe</v>
      </c>
      <c r="G1255" s="126" t="str">
        <f>IF(LEFT(A1255,3)="vx_","vx",INDEX(Categorie,MATCH($A1255,emprunts!$A$2:$A$149,0)))</f>
        <v>Restr_sec</v>
      </c>
      <c r="H1255">
        <v>2017</v>
      </c>
      <c r="I1255">
        <f t="shared" si="202"/>
        <v>1</v>
      </c>
      <c r="N1255"/>
      <c r="O1255" s="58">
        <v>1938825</v>
      </c>
      <c r="P1255" s="4">
        <v>4.3799999999999999E-2</v>
      </c>
      <c r="Q1255" s="58">
        <v>89693.67</v>
      </c>
      <c r="R1255" s="58">
        <v>104245.56</v>
      </c>
      <c r="S1255" s="58"/>
      <c r="T1255" s="58">
        <v>6995.92</v>
      </c>
      <c r="U1255" s="58">
        <f>SUM(Q1255:S1255)</f>
        <v>193939.22999999998</v>
      </c>
      <c r="V1255" s="14">
        <f t="shared" si="198"/>
        <v>0</v>
      </c>
      <c r="W1255" s="77"/>
      <c r="X1255" s="85">
        <f t="shared" si="203"/>
        <v>0</v>
      </c>
      <c r="Y1255" s="21">
        <f t="shared" si="197"/>
        <v>4.4985051177346934E-2</v>
      </c>
      <c r="AA1255" s="55">
        <f t="shared" si="199"/>
        <v>89317.51</v>
      </c>
      <c r="AB1255" s="55">
        <f t="shared" si="200"/>
        <v>-0.43999999994412065</v>
      </c>
      <c r="AC1255" s="55">
        <f t="shared" si="201"/>
        <v>1985493.1285479453</v>
      </c>
    </row>
    <row r="1256" spans="1:29">
      <c r="A1256" t="s">
        <v>314</v>
      </c>
      <c r="B1256" s="16" t="str">
        <f>INDEX(emprunts!C:C,MATCH($A1256,emprunts!A:A,0))</f>
        <v>Société Générale</v>
      </c>
      <c r="C1256" s="18">
        <f>INDEX(emprunts!M:M,MATCH($A1256,emprunts!$A:$A,0))</f>
        <v>40530</v>
      </c>
      <c r="D1256" s="18">
        <f>IF(INDEX(emprunts!O:O,MATCH($A1256,emprunts!$A:$A,0))="",INDEX(emprunts!N:N,MATCH($A1256,emprunts!$A:$A,0)),MIN(INDEX(emprunts!N:N,MATCH($A1256,emprunts!$A:$A,0)),INDEX(emprunts!O:O,MATCH($A1256,emprunts!$A:$A,0))))</f>
        <v>46112</v>
      </c>
      <c r="E1256" s="52">
        <f>INDEX(emprunts!I:I,MATCH($A1256,emprunts!$A:$A,0))</f>
        <v>15</v>
      </c>
      <c r="F1256" s="18" t="str">
        <f>INDEX(emprunts!P:P,MATCH($A1256,emprunts!$A:$A,0))</f>
        <v>Variable</v>
      </c>
      <c r="G1256" s="126" t="str">
        <f>IF(LEFT(A1256,3)="vx_","vx",INDEX(Categorie,MATCH($A1256,emprunts!$A$2:$A$149,0)))</f>
        <v>Non_st</v>
      </c>
      <c r="H1256">
        <v>2017</v>
      </c>
      <c r="I1256">
        <f t="shared" si="202"/>
        <v>1</v>
      </c>
      <c r="N1256"/>
      <c r="O1256" s="58">
        <v>5128990</v>
      </c>
      <c r="P1256" s="4">
        <v>5.7999999999999996E-3</v>
      </c>
      <c r="Q1256" s="58">
        <v>31639.81</v>
      </c>
      <c r="R1256" s="58">
        <v>489204.72</v>
      </c>
      <c r="S1256" s="58"/>
      <c r="T1256" s="58">
        <v>0</v>
      </c>
      <c r="U1256" s="58">
        <f>SUM(Q1256:S1256)</f>
        <v>520844.52999999997</v>
      </c>
      <c r="V1256" s="14">
        <f t="shared" si="198"/>
        <v>0</v>
      </c>
      <c r="W1256" s="77"/>
      <c r="X1256" s="85">
        <f t="shared" si="203"/>
        <v>0</v>
      </c>
      <c r="Y1256" s="21">
        <f t="shared" si="197"/>
        <v>5.904194146007952E-3</v>
      </c>
      <c r="AA1256" s="55">
        <f t="shared" si="199"/>
        <v>31639.81</v>
      </c>
      <c r="AB1256" s="55">
        <f t="shared" si="200"/>
        <v>-0.28000000026077032</v>
      </c>
      <c r="AC1256" s="55">
        <f t="shared" si="201"/>
        <v>5358870.1891506854</v>
      </c>
    </row>
    <row r="1257" spans="1:29">
      <c r="A1257" t="s">
        <v>317</v>
      </c>
      <c r="B1257" s="16" t="str">
        <f>INDEX(emprunts!C:C,MATCH($A1257,emprunts!A:A,0))</f>
        <v>Dexia CL</v>
      </c>
      <c r="C1257" s="18">
        <f>INDEX(emprunts!M:M,MATCH($A1257,emprunts!$A:$A,0))</f>
        <v>40634</v>
      </c>
      <c r="D1257" s="18">
        <f>IF(INDEX(emprunts!O:O,MATCH($A1257,emprunts!$A:$A,0))="",INDEX(emprunts!N:N,MATCH($A1257,emprunts!$A:$A,0)),MIN(INDEX(emprunts!N:N,MATCH($A1257,emprunts!$A:$A,0)),INDEX(emprunts!O:O,MATCH($A1257,emprunts!$A:$A,0))))</f>
        <v>41760</v>
      </c>
      <c r="E1257" s="52">
        <f>INDEX(emprunts!I:I,MATCH($A1257,emprunts!$A:$A,0))</f>
        <v>25</v>
      </c>
      <c r="F1257" s="18" t="str">
        <f>INDEX(emprunts!P:P,MATCH($A1257,emprunts!$A:$A,0))</f>
        <v>Barrière avec multiplicateur</v>
      </c>
      <c r="G1257" s="126" t="str">
        <f>IF(LEFT(A1257,3)="vx_","vx",INDEX(Categorie,MATCH($A1257,emprunts!$A$2:$A$149,0)))</f>
        <v>Struct</v>
      </c>
      <c r="H1257">
        <v>2017</v>
      </c>
      <c r="I1257">
        <f t="shared" si="202"/>
        <v>1</v>
      </c>
      <c r="N1257"/>
      <c r="O1257" s="58"/>
      <c r="Q1257" s="58"/>
      <c r="R1257" s="58"/>
      <c r="S1257" s="58"/>
      <c r="T1257" s="58"/>
      <c r="U1257" s="58"/>
      <c r="V1257" s="14" t="str">
        <f t="shared" si="198"/>
        <v/>
      </c>
      <c r="W1257" s="77"/>
      <c r="X1257" s="85">
        <f t="shared" si="203"/>
        <v>0</v>
      </c>
      <c r="Y1257" s="21" t="str">
        <f t="shared" si="197"/>
        <v/>
      </c>
      <c r="AA1257" s="55">
        <f t="shared" si="199"/>
        <v>0</v>
      </c>
      <c r="AB1257" s="55">
        <f t="shared" si="200"/>
        <v>0</v>
      </c>
      <c r="AC1257" s="55">
        <f t="shared" si="201"/>
        <v>0</v>
      </c>
    </row>
    <row r="1258" spans="1:29">
      <c r="A1258" s="1" t="s">
        <v>489</v>
      </c>
      <c r="B1258" s="16" t="str">
        <f>INDEX(emprunts!C:C,MATCH($A1258,emprunts!A:A,0))</f>
        <v>Dexia CL</v>
      </c>
      <c r="C1258" s="18">
        <f>INDEX(emprunts!M:M,MATCH($A1258,emprunts!$A:$A,0))</f>
        <v>40725</v>
      </c>
      <c r="D1258" s="18">
        <f>IF(INDEX(emprunts!O:O,MATCH($A1258,emprunts!$A:$A,0))="",INDEX(emprunts!N:N,MATCH($A1258,emprunts!$A:$A,0)),MIN(INDEX(emprunts!N:N,MATCH($A1258,emprunts!$A:$A,0)),INDEX(emprunts!O:O,MATCH($A1258,emprunts!$A:$A,0))))</f>
        <v>49796</v>
      </c>
      <c r="E1258" s="52">
        <f>INDEX(emprunts!I:I,MATCH($A1258,emprunts!$A:$A,0))</f>
        <v>25</v>
      </c>
      <c r="F1258" s="18" t="str">
        <f>INDEX(emprunts!P:P,MATCH($A1258,emprunts!$A:$A,0))</f>
        <v>Barrière avec multiplicateur</v>
      </c>
      <c r="G1258" s="126" t="str">
        <f>IF(LEFT(A1258,3)="vx_","vx",INDEX(Categorie,MATCH($A1258,emprunts!$A$2:$A$149,0)))</f>
        <v>Struct</v>
      </c>
      <c r="H1258">
        <v>2017</v>
      </c>
      <c r="I1258">
        <f t="shared" si="202"/>
        <v>1</v>
      </c>
      <c r="N1258"/>
      <c r="O1258" s="58">
        <v>12474942</v>
      </c>
      <c r="P1258" s="4">
        <v>4.0300000000000002E-2</v>
      </c>
      <c r="Q1258" s="58">
        <v>520401.69</v>
      </c>
      <c r="R1258" s="58">
        <v>389040.11</v>
      </c>
      <c r="S1258" s="58"/>
      <c r="T1258" s="58">
        <v>337364.02</v>
      </c>
      <c r="U1258" s="58">
        <f>SUM(Q1258:S1258)</f>
        <v>909441.8</v>
      </c>
      <c r="V1258" s="14">
        <f t="shared" si="198"/>
        <v>0</v>
      </c>
      <c r="W1258" s="77"/>
      <c r="X1258" s="85">
        <f t="shared" si="203"/>
        <v>0</v>
      </c>
      <c r="Y1258" s="21">
        <f t="shared" si="197"/>
        <v>4.0355423856529023E-2</v>
      </c>
      <c r="AA1258" s="55">
        <f t="shared" si="199"/>
        <v>509880.74</v>
      </c>
      <c r="AB1258" s="55">
        <f t="shared" si="200"/>
        <v>0.10999999940395355</v>
      </c>
      <c r="AC1258" s="55">
        <f t="shared" si="201"/>
        <v>12634751.200054795</v>
      </c>
    </row>
    <row r="1259" spans="1:29">
      <c r="A1259" s="1" t="s">
        <v>487</v>
      </c>
      <c r="B1259" s="16" t="str">
        <f>INDEX(emprunts!C:C,MATCH($A1259,emprunts!A:A,0))</f>
        <v>Dexia CL</v>
      </c>
      <c r="C1259" s="18">
        <f>INDEX(emprunts!M:M,MATCH($A1259,emprunts!$A:$A,0))</f>
        <v>40737</v>
      </c>
      <c r="D1259" s="18">
        <f>IF(INDEX(emprunts!O:O,MATCH($A1259,emprunts!$A:$A,0))="",INDEX(emprunts!N:N,MATCH($A1259,emprunts!$A:$A,0)),MIN(INDEX(emprunts!N:N,MATCH($A1259,emprunts!$A:$A,0)),INDEX(emprunts!O:O,MATCH($A1259,emprunts!$A:$A,0))))</f>
        <v>42644</v>
      </c>
      <c r="E1259" s="52">
        <f>INDEX(emprunts!I:I,MATCH($A1259,emprunts!$A:$A,0))</f>
        <v>15</v>
      </c>
      <c r="F1259" s="18" t="str">
        <f>INDEX(emprunts!P:P,MATCH($A1259,emprunts!$A:$A,0))</f>
        <v>Change</v>
      </c>
      <c r="G1259" s="126" t="str">
        <f>IF(LEFT(A1259,3)="vx_","vx",INDEX(Categorie,MATCH($A1259,emprunts!$A$2:$A$149,0)))</f>
        <v>Struct</v>
      </c>
      <c r="H1259">
        <v>2017</v>
      </c>
      <c r="I1259">
        <f t="shared" si="202"/>
        <v>1</v>
      </c>
      <c r="N1259" s="58"/>
      <c r="O1259" s="58"/>
      <c r="Q1259" s="58"/>
      <c r="R1259" s="58"/>
      <c r="S1259" s="58"/>
      <c r="T1259" s="58"/>
      <c r="U1259" s="58"/>
      <c r="V1259" s="14" t="str">
        <f t="shared" si="198"/>
        <v/>
      </c>
      <c r="W1259" s="77"/>
      <c r="X1259" s="85">
        <f t="shared" si="203"/>
        <v>0</v>
      </c>
      <c r="Y1259" s="21" t="str">
        <f t="shared" si="197"/>
        <v/>
      </c>
      <c r="AA1259" s="55">
        <f t="shared" si="199"/>
        <v>0</v>
      </c>
      <c r="AB1259" s="55">
        <f t="shared" si="200"/>
        <v>0</v>
      </c>
      <c r="AC1259" s="55">
        <f t="shared" si="201"/>
        <v>0</v>
      </c>
    </row>
    <row r="1260" spans="1:29">
      <c r="A1260" t="s">
        <v>324</v>
      </c>
      <c r="B1260" s="16" t="str">
        <f>INDEX(emprunts!C:C,MATCH($A1260,emprunts!A:A,0))</f>
        <v>Caisse d'Épargne</v>
      </c>
      <c r="C1260" s="18">
        <f>INDEX(emprunts!M:M,MATCH($A1260,emprunts!$A:$A,0))</f>
        <v>40732</v>
      </c>
      <c r="D1260" s="18">
        <f>IF(INDEX(emprunts!O:O,MATCH($A1260,emprunts!$A:$A,0))="",INDEX(emprunts!N:N,MATCH($A1260,emprunts!$A:$A,0)),MIN(INDEX(emprunts!N:N,MATCH($A1260,emprunts!$A:$A,0)),INDEX(emprunts!O:O,MATCH($A1260,emprunts!$A:$A,0))))</f>
        <v>46536</v>
      </c>
      <c r="E1260" s="52">
        <f>INDEX(emprunts!I:I,MATCH($A1260,emprunts!$A:$A,0))</f>
        <v>15</v>
      </c>
      <c r="F1260" s="18" t="str">
        <f>INDEX(emprunts!P:P,MATCH($A1260,emprunts!$A:$A,0))</f>
        <v>Variable</v>
      </c>
      <c r="G1260" s="126" t="str">
        <f>IF(LEFT(A1260,3)="vx_","vx",INDEX(Categorie,MATCH($A1260,emprunts!$A$2:$A$149,0)))</f>
        <v>Non_st</v>
      </c>
      <c r="H1260">
        <v>2017</v>
      </c>
      <c r="I1260">
        <f t="shared" si="202"/>
        <v>1</v>
      </c>
      <c r="N1260"/>
      <c r="O1260" s="58">
        <v>3580682</v>
      </c>
      <c r="P1260" s="4">
        <v>9.2999999999999992E-3</v>
      </c>
      <c r="Q1260" s="58">
        <v>35050.199999999997</v>
      </c>
      <c r="R1260" s="58">
        <v>287717.49</v>
      </c>
      <c r="S1260" s="58"/>
      <c r="T1260" s="58">
        <v>2950.87</v>
      </c>
      <c r="U1260" s="58">
        <f>SUM(Q1260:S1260)</f>
        <v>322767.69</v>
      </c>
      <c r="V1260" s="14">
        <f t="shared" si="198"/>
        <v>0</v>
      </c>
      <c r="W1260" s="77"/>
      <c r="X1260" s="85">
        <f t="shared" si="203"/>
        <v>0</v>
      </c>
      <c r="Y1260" s="21">
        <f t="shared" si="197"/>
        <v>9.3749717552665101E-3</v>
      </c>
      <c r="AA1260" s="55">
        <f t="shared" si="199"/>
        <v>34821.800000000003</v>
      </c>
      <c r="AB1260" s="55">
        <f t="shared" si="200"/>
        <v>0.49000000022351742</v>
      </c>
      <c r="AC1260" s="55">
        <f t="shared" si="201"/>
        <v>3714336.5237808223</v>
      </c>
    </row>
    <row r="1261" spans="1:29">
      <c r="A1261" t="s">
        <v>328</v>
      </c>
      <c r="B1261" s="16" t="str">
        <f>INDEX(emprunts!C:C,MATCH($A1261,emprunts!A:A,0))</f>
        <v>Caisse d'Épargne</v>
      </c>
      <c r="C1261" s="18">
        <f>INDEX(emprunts!M:M,MATCH($A1261,emprunts!$A:$A,0))</f>
        <v>40732</v>
      </c>
      <c r="D1261" s="18">
        <f>IF(INDEX(emprunts!O:O,MATCH($A1261,emprunts!$A:$A,0))="",INDEX(emprunts!N:N,MATCH($A1261,emprunts!$A:$A,0)),MIN(INDEX(emprunts!N:N,MATCH($A1261,emprunts!$A:$A,0)),INDEX(emprunts!O:O,MATCH($A1261,emprunts!$A:$A,0))))</f>
        <v>46536</v>
      </c>
      <c r="E1261" s="52">
        <f>INDEX(emprunts!I:I,MATCH($A1261,emprunts!$A:$A,0))</f>
        <v>15</v>
      </c>
      <c r="F1261" s="18" t="str">
        <f>INDEX(emprunts!P:P,MATCH($A1261,emprunts!$A:$A,0))</f>
        <v>Variable</v>
      </c>
      <c r="G1261" s="126" t="str">
        <f>IF(LEFT(A1261,3)="vx_","vx",INDEX(Categorie,MATCH($A1261,emprunts!$A$2:$A$149,0)))</f>
        <v>Non_st</v>
      </c>
      <c r="H1261">
        <v>2017</v>
      </c>
      <c r="I1261">
        <f t="shared" si="202"/>
        <v>1</v>
      </c>
      <c r="N1261"/>
      <c r="O1261" s="58">
        <v>3580682</v>
      </c>
      <c r="P1261" s="4">
        <v>6.3E-3</v>
      </c>
      <c r="Q1261" s="58">
        <v>23774.7</v>
      </c>
      <c r="R1261" s="58">
        <v>287717.49</v>
      </c>
      <c r="S1261" s="58"/>
      <c r="T1261" s="58">
        <v>2009.11</v>
      </c>
      <c r="U1261" s="58">
        <f>SUM(Q1261:S1261)</f>
        <v>311492.19</v>
      </c>
      <c r="V1261" s="14">
        <f t="shared" si="198"/>
        <v>0</v>
      </c>
      <c r="W1261" s="77"/>
      <c r="X1261" s="85">
        <f t="shared" si="203"/>
        <v>0</v>
      </c>
      <c r="Y1261" s="21">
        <f t="shared" ref="Y1261:Y1315" si="204">IF(AND(AA1261&gt;0,YEAR(C1261)&lt;=H1261),AA1261/AC1261,"")</f>
        <v>6.3589283977850295E-3</v>
      </c>
      <c r="AA1261" s="55">
        <f t="shared" si="199"/>
        <v>23619.200000000001</v>
      </c>
      <c r="AB1261" s="55">
        <f t="shared" si="200"/>
        <v>0.49000000022351742</v>
      </c>
      <c r="AC1261" s="55">
        <f t="shared" si="201"/>
        <v>3714336.5237808223</v>
      </c>
    </row>
    <row r="1262" spans="1:29">
      <c r="A1262" t="s">
        <v>331</v>
      </c>
      <c r="B1262" s="16" t="str">
        <f>INDEX(emprunts!C:C,MATCH($A1262,emprunts!A:A,0))</f>
        <v>Dexia CL</v>
      </c>
      <c r="C1262" s="18">
        <f>INDEX(emprunts!M:M,MATCH($A1262,emprunts!$A:$A,0))</f>
        <v>40848</v>
      </c>
      <c r="D1262" s="18">
        <f>IF(INDEX(emprunts!O:O,MATCH($A1262,emprunts!$A:$A,0))="",INDEX(emprunts!N:N,MATCH($A1262,emprunts!$A:$A,0)),MIN(INDEX(emprunts!N:N,MATCH($A1262,emprunts!$A:$A,0)),INDEX(emprunts!O:O,MATCH($A1262,emprunts!$A:$A,0))))</f>
        <v>43101</v>
      </c>
      <c r="E1262" s="52">
        <f>INDEX(emprunts!I:I,MATCH($A1262,emprunts!$A:$A,0))</f>
        <v>21.17</v>
      </c>
      <c r="F1262" s="18" t="str">
        <f>INDEX(emprunts!P:P,MATCH($A1262,emprunts!$A:$A,0))</f>
        <v>Barrière avec multiplicateur</v>
      </c>
      <c r="G1262" s="126" t="str">
        <f>IF(LEFT(A1262,3)="vx_","vx",INDEX(Categorie,MATCH($A1262,emprunts!$A$2:$A$149,0)))</f>
        <v>Struct</v>
      </c>
      <c r="H1262">
        <v>2017</v>
      </c>
      <c r="I1262">
        <f t="shared" si="202"/>
        <v>1</v>
      </c>
      <c r="N1262"/>
      <c r="O1262" s="58">
        <v>7236012</v>
      </c>
      <c r="P1262" s="4">
        <v>3.5400000000000001E-2</v>
      </c>
      <c r="Q1262" s="58">
        <v>274478.62</v>
      </c>
      <c r="R1262" s="58">
        <v>477672.67</v>
      </c>
      <c r="S1262" s="58"/>
      <c r="T1262" s="58">
        <v>256074.44</v>
      </c>
      <c r="U1262" s="58">
        <f>SUM(Q1262:S1262)</f>
        <v>752151.29</v>
      </c>
      <c r="V1262" s="14">
        <f t="shared" si="198"/>
        <v>0</v>
      </c>
      <c r="W1262" s="77"/>
      <c r="X1262" s="85">
        <f t="shared" si="203"/>
        <v>0</v>
      </c>
      <c r="Y1262" s="21">
        <f t="shared" si="204"/>
        <v>3.4452865120709705E-2</v>
      </c>
      <c r="AA1262" s="55">
        <f t="shared" si="199"/>
        <v>256824.38000000006</v>
      </c>
      <c r="AB1262" s="55">
        <f t="shared" si="200"/>
        <v>-0.33000000007450581</v>
      </c>
      <c r="AC1262" s="55">
        <f t="shared" si="201"/>
        <v>7454369.2984657539</v>
      </c>
    </row>
    <row r="1263" spans="1:29">
      <c r="A1263" t="s">
        <v>333</v>
      </c>
      <c r="B1263" s="16" t="str">
        <f>INDEX(emprunts!C:C,MATCH($A1263,emprunts!A:A,0))</f>
        <v>Dexia CL</v>
      </c>
      <c r="C1263" s="18">
        <f>INDEX(emprunts!M:M,MATCH($A1263,emprunts!$A:$A,0))</f>
        <v>40848</v>
      </c>
      <c r="D1263" s="18">
        <f>IF(INDEX(emprunts!O:O,MATCH($A1263,emprunts!$A:$A,0))="",INDEX(emprunts!N:N,MATCH($A1263,emprunts!$A:$A,0)),MIN(INDEX(emprunts!N:N,MATCH($A1263,emprunts!$A:$A,0)),INDEX(emprunts!O:O,MATCH($A1263,emprunts!$A:$A,0))))</f>
        <v>41654</v>
      </c>
      <c r="E1263" s="52">
        <f>INDEX(emprunts!I:I,MATCH($A1263,emprunts!$A:$A,0))</f>
        <v>22</v>
      </c>
      <c r="F1263" s="18" t="str">
        <f>INDEX(emprunts!P:P,MATCH($A1263,emprunts!$A:$A,0))</f>
        <v>Change</v>
      </c>
      <c r="G1263" s="126" t="str">
        <f>IF(LEFT(A1263,3)="vx_","vx",INDEX(Categorie,MATCH($A1263,emprunts!$A$2:$A$149,0)))</f>
        <v>Struct</v>
      </c>
      <c r="H1263">
        <v>2017</v>
      </c>
      <c r="I1263">
        <f t="shared" si="202"/>
        <v>1</v>
      </c>
      <c r="N1263"/>
      <c r="O1263" s="58"/>
      <c r="Q1263" s="58"/>
      <c r="R1263" s="58"/>
      <c r="S1263" s="58"/>
      <c r="T1263" s="58"/>
      <c r="U1263" s="58"/>
      <c r="V1263" s="14" t="str">
        <f t="shared" ref="V1263:V1315" si="205">IF(U1263="","",U1263-SUM(Q1263:S1263))</f>
        <v/>
      </c>
      <c r="W1263" s="77"/>
      <c r="X1263" s="85">
        <f t="shared" si="203"/>
        <v>0</v>
      </c>
      <c r="Y1263" s="21" t="str">
        <f t="shared" si="204"/>
        <v/>
      </c>
      <c r="AA1263" s="55">
        <f t="shared" si="199"/>
        <v>0</v>
      </c>
      <c r="AB1263" s="55">
        <f t="shared" si="200"/>
        <v>0</v>
      </c>
      <c r="AC1263" s="55">
        <f t="shared" si="201"/>
        <v>0</v>
      </c>
    </row>
    <row r="1264" spans="1:29">
      <c r="A1264" t="s">
        <v>336</v>
      </c>
      <c r="B1264" s="16" t="str">
        <f>INDEX(emprunts!C:C,MATCH($A1264,emprunts!A:A,0))</f>
        <v>Dexia CL</v>
      </c>
      <c r="C1264" s="18">
        <f>INDEX(emprunts!M:M,MATCH($A1264,emprunts!$A:$A,0))</f>
        <v>40878</v>
      </c>
      <c r="D1264" s="18">
        <f>IF(INDEX(emprunts!O:O,MATCH($A1264,emprunts!$A:$A,0))="",INDEX(emprunts!N:N,MATCH($A1264,emprunts!$A:$A,0)),MIN(INDEX(emprunts!N:N,MATCH($A1264,emprunts!$A:$A,0)),INDEX(emprunts!O:O,MATCH($A1264,emprunts!$A:$A,0))))</f>
        <v>41244</v>
      </c>
      <c r="E1264" s="52">
        <f>INDEX(emprunts!I:I,MATCH($A1264,emprunts!$A:$A,0))</f>
        <v>18</v>
      </c>
      <c r="F1264" s="18" t="str">
        <f>INDEX(emprunts!P:P,MATCH($A1264,emprunts!$A:$A,0))</f>
        <v>Change</v>
      </c>
      <c r="G1264" s="126" t="str">
        <f>IF(LEFT(A1264,3)="vx_","vx",INDEX(Categorie,MATCH($A1264,emprunts!$A$2:$A$149,0)))</f>
        <v>Struct</v>
      </c>
      <c r="H1264">
        <v>2017</v>
      </c>
      <c r="I1264">
        <f t="shared" si="202"/>
        <v>1</v>
      </c>
      <c r="N1264"/>
      <c r="O1264" s="58"/>
      <c r="Q1264" s="58"/>
      <c r="R1264" s="58"/>
      <c r="S1264" s="58"/>
      <c r="T1264" s="58"/>
      <c r="U1264" s="58"/>
      <c r="V1264" s="14" t="str">
        <f t="shared" si="205"/>
        <v/>
      </c>
      <c r="W1264" s="77"/>
      <c r="X1264" s="85">
        <f t="shared" si="203"/>
        <v>0</v>
      </c>
      <c r="Y1264" s="21" t="str">
        <f t="shared" si="204"/>
        <v/>
      </c>
      <c r="AA1264" s="55">
        <f t="shared" si="199"/>
        <v>0</v>
      </c>
      <c r="AB1264" s="55">
        <f t="shared" si="200"/>
        <v>0</v>
      </c>
      <c r="AC1264" s="55">
        <f t="shared" si="201"/>
        <v>0</v>
      </c>
    </row>
    <row r="1265" spans="1:29">
      <c r="A1265" t="s">
        <v>338</v>
      </c>
      <c r="B1265" s="16" t="str">
        <f>INDEX(emprunts!C:C,MATCH($A1265,emprunts!A:A,0))</f>
        <v>Dexia CL</v>
      </c>
      <c r="C1265" s="18">
        <f>INDEX(emprunts!M:M,MATCH($A1265,emprunts!$A:$A,0))</f>
        <v>40878</v>
      </c>
      <c r="D1265" s="18">
        <f>IF(INDEX(emprunts!O:O,MATCH($A1265,emprunts!$A:$A,0))="",INDEX(emprunts!N:N,MATCH($A1265,emprunts!$A:$A,0)),MIN(INDEX(emprunts!N:N,MATCH($A1265,emprunts!$A:$A,0)),INDEX(emprunts!O:O,MATCH($A1265,emprunts!$A:$A,0))))</f>
        <v>49644</v>
      </c>
      <c r="E1265" s="52">
        <f>INDEX(emprunts!I:I,MATCH($A1265,emprunts!$A:$A,0))</f>
        <v>24</v>
      </c>
      <c r="F1265" s="18" t="str">
        <f>INDEX(emprunts!P:P,MATCH($A1265,emprunts!$A:$A,0))</f>
        <v>Variable</v>
      </c>
      <c r="G1265" s="126" t="str">
        <f>IF(LEFT(A1265,3)="vx_","vx",INDEX(Categorie,MATCH($A1265,emprunts!$A$2:$A$149,0)))</f>
        <v>Non_st</v>
      </c>
      <c r="H1265">
        <v>2017</v>
      </c>
      <c r="I1265">
        <f t="shared" si="202"/>
        <v>1</v>
      </c>
      <c r="N1265"/>
      <c r="O1265" s="58">
        <v>3738095</v>
      </c>
      <c r="P1265" s="4">
        <v>6.9999999999999999E-4</v>
      </c>
      <c r="Q1265" s="58">
        <v>2912.34</v>
      </c>
      <c r="R1265" s="58">
        <v>186387.89</v>
      </c>
      <c r="S1265" s="58"/>
      <c r="T1265" s="58">
        <v>221.17</v>
      </c>
      <c r="U1265" s="58">
        <f>SUM(Q1265:S1265)</f>
        <v>189300.23</v>
      </c>
      <c r="V1265" s="14">
        <f t="shared" si="205"/>
        <v>0</v>
      </c>
      <c r="W1265" s="77"/>
      <c r="X1265" s="85">
        <f t="shared" si="203"/>
        <v>0</v>
      </c>
      <c r="Y1265" s="21">
        <f t="shared" si="204"/>
        <v>7.4651009625714346E-4</v>
      </c>
      <c r="AA1265" s="55">
        <f t="shared" si="199"/>
        <v>2852.26</v>
      </c>
      <c r="AB1265" s="55">
        <f t="shared" si="200"/>
        <v>-0.10999999986961484</v>
      </c>
      <c r="AC1265" s="55">
        <f t="shared" si="201"/>
        <v>3820792.2629589038</v>
      </c>
    </row>
    <row r="1266" spans="1:29">
      <c r="A1266" t="s">
        <v>339</v>
      </c>
      <c r="B1266" s="16" t="str">
        <f>INDEX(emprunts!C:C,MATCH($A1266,emprunts!A:A,0))</f>
        <v>Caisse d'Épargne</v>
      </c>
      <c r="C1266" s="18">
        <f>INDEX(emprunts!M:M,MATCH($A1266,emprunts!$A:$A,0))</f>
        <v>40913</v>
      </c>
      <c r="D1266" s="18">
        <f>IF(INDEX(emprunts!O:O,MATCH($A1266,emprunts!$A:$A,0))="",INDEX(emprunts!N:N,MATCH($A1266,emprunts!$A:$A,0)),MIN(INDEX(emprunts!N:N,MATCH($A1266,emprunts!$A:$A,0)),INDEX(emprunts!O:O,MATCH($A1266,emprunts!$A:$A,0))))</f>
        <v>48218</v>
      </c>
      <c r="E1266" s="52">
        <f>INDEX(emprunts!I:I,MATCH($A1266,emprunts!$A:$A,0))</f>
        <v>20</v>
      </c>
      <c r="F1266" s="18" t="str">
        <f>INDEX(emprunts!P:P,MATCH($A1266,emprunts!$A:$A,0))</f>
        <v>Barrière</v>
      </c>
      <c r="G1266" s="126" t="str">
        <f>IF(LEFT(A1266,3)="vx_","vx",INDEX(Categorie,MATCH($A1266,emprunts!$A$2:$A$149,0)))</f>
        <v>Struct</v>
      </c>
      <c r="H1266">
        <v>2017</v>
      </c>
      <c r="I1266">
        <f t="shared" si="202"/>
        <v>1</v>
      </c>
      <c r="N1266"/>
      <c r="O1266" s="58">
        <v>5267453</v>
      </c>
      <c r="P1266" s="4">
        <v>4.9000000000000002E-2</v>
      </c>
      <c r="Q1266" s="58">
        <v>272734.65000000002</v>
      </c>
      <c r="R1266" s="58">
        <v>263754.71999999997</v>
      </c>
      <c r="S1266" s="58"/>
      <c r="T1266" s="58">
        <v>255471.48</v>
      </c>
      <c r="U1266" s="58">
        <f>SUM(Q1266:S1266)</f>
        <v>536489.37</v>
      </c>
      <c r="V1266" s="14">
        <f t="shared" si="205"/>
        <v>0</v>
      </c>
      <c r="W1266" s="77"/>
      <c r="X1266" s="85">
        <f t="shared" si="203"/>
        <v>0</v>
      </c>
      <c r="Y1266" s="21">
        <f t="shared" si="204"/>
        <v>4.8137347287514481E-2</v>
      </c>
      <c r="AA1266" s="55">
        <f t="shared" si="199"/>
        <v>259197.36</v>
      </c>
      <c r="AB1266" s="55">
        <f t="shared" si="200"/>
        <v>-0.28000000026077032</v>
      </c>
      <c r="AC1266" s="55">
        <f t="shared" si="201"/>
        <v>5384537.6740821926</v>
      </c>
    </row>
    <row r="1267" spans="1:29">
      <c r="A1267" t="s">
        <v>342</v>
      </c>
      <c r="B1267" s="16" t="str">
        <f>INDEX(emprunts!C:C,MATCH($A1267,emprunts!A:A,0))</f>
        <v>CDC</v>
      </c>
      <c r="C1267" s="18">
        <f>INDEX(emprunts!M:M,MATCH($A1267,emprunts!$A:$A,0))</f>
        <v>40991</v>
      </c>
      <c r="D1267" s="18">
        <f>IF(INDEX(emprunts!O:O,MATCH($A1267,emprunts!$A:$A,0))="",INDEX(emprunts!N:N,MATCH($A1267,emprunts!$A:$A,0)),MIN(INDEX(emprunts!N:N,MATCH($A1267,emprunts!$A:$A,0)),INDEX(emprunts!O:O,MATCH($A1267,emprunts!$A:$A,0))))</f>
        <v>46661</v>
      </c>
      <c r="E1267" s="52">
        <f>INDEX(emprunts!I:I,MATCH($A1267,emprunts!$A:$A,0))</f>
        <v>15.25</v>
      </c>
      <c r="F1267" s="18" t="str">
        <f>INDEX(emprunts!P:P,MATCH($A1267,emprunts!$A:$A,0))</f>
        <v>Variable</v>
      </c>
      <c r="G1267" s="126" t="str">
        <f>IF(LEFT(A1267,3)="vx_","vx",INDEX(Categorie,MATCH($A1267,emprunts!$A$2:$A$149,0)))</f>
        <v>Non_st</v>
      </c>
      <c r="H1267">
        <v>2017</v>
      </c>
      <c r="I1267">
        <f t="shared" si="202"/>
        <v>1</v>
      </c>
      <c r="N1267"/>
      <c r="O1267" s="58"/>
      <c r="Q1267" s="58"/>
      <c r="R1267" s="58"/>
      <c r="S1267" s="58"/>
      <c r="T1267" s="58"/>
      <c r="U1267" s="58"/>
      <c r="V1267" s="14" t="str">
        <f t="shared" si="205"/>
        <v/>
      </c>
      <c r="W1267" s="77"/>
      <c r="X1267" s="85">
        <f t="shared" si="203"/>
        <v>0</v>
      </c>
      <c r="Y1267" s="21" t="str">
        <f t="shared" si="204"/>
        <v/>
      </c>
      <c r="AA1267" s="55">
        <f t="shared" si="199"/>
        <v>0</v>
      </c>
      <c r="AB1267" s="55">
        <f t="shared" si="200"/>
        <v>0</v>
      </c>
      <c r="AC1267" s="55">
        <f t="shared" si="201"/>
        <v>0</v>
      </c>
    </row>
    <row r="1268" spans="1:29">
      <c r="A1268" s="1" t="s">
        <v>531</v>
      </c>
      <c r="B1268" s="16" t="str">
        <f>INDEX(emprunts!C:C,MATCH($A1268,emprunts!A:A,0))</f>
        <v>Dexia CL</v>
      </c>
      <c r="C1268" s="18">
        <f>INDEX(emprunts!M:M,MATCH($A1268,emprunts!$A:$A,0))</f>
        <v>41030</v>
      </c>
      <c r="D1268" s="18">
        <f>IF(INDEX(emprunts!O:O,MATCH($A1268,emprunts!$A:$A,0))="",INDEX(emprunts!N:N,MATCH($A1268,emprunts!$A:$A,0)),MIN(INDEX(emprunts!N:N,MATCH($A1268,emprunts!$A:$A,0)),INDEX(emprunts!O:O,MATCH($A1268,emprunts!$A:$A,0))))</f>
        <v>48122</v>
      </c>
      <c r="E1268" s="52">
        <f>INDEX(emprunts!I:I,MATCH($A1268,emprunts!$A:$A,0))</f>
        <v>19.420000000000002</v>
      </c>
      <c r="F1268" s="18" t="str">
        <f>INDEX(emprunts!P:P,MATCH($A1268,emprunts!$A:$A,0))</f>
        <v>Barrière avec multiplicateur</v>
      </c>
      <c r="G1268" s="126" t="str">
        <f>IF(LEFT(A1268,3)="vx_","vx",INDEX(Categorie,MATCH($A1268,emprunts!$A$2:$A$149,0)))</f>
        <v>Struct</v>
      </c>
      <c r="H1268">
        <v>2017</v>
      </c>
      <c r="I1268">
        <f t="shared" si="202"/>
        <v>1</v>
      </c>
      <c r="N1268"/>
      <c r="O1268" s="58">
        <v>12569257</v>
      </c>
      <c r="P1268" s="4">
        <v>1.6199999999999999E-2</v>
      </c>
      <c r="Q1268" s="58">
        <v>209667.15</v>
      </c>
      <c r="R1268" s="58">
        <v>610793.69999999995</v>
      </c>
      <c r="S1268" s="58"/>
      <c r="T1268" s="58">
        <v>54631.5</v>
      </c>
      <c r="U1268" s="58">
        <f>SUM(Q1268:S1268)</f>
        <v>820460.85</v>
      </c>
      <c r="V1268" s="14">
        <f t="shared" si="205"/>
        <v>0</v>
      </c>
      <c r="W1268" s="77"/>
      <c r="X1268" s="85">
        <f t="shared" si="203"/>
        <v>0</v>
      </c>
      <c r="Y1268" s="21">
        <f t="shared" si="204"/>
        <v>1.6240030795080369E-2</v>
      </c>
      <c r="AA1268" s="55">
        <f t="shared" si="199"/>
        <v>208511.94000000003</v>
      </c>
      <c r="AB1268" s="55">
        <f t="shared" si="200"/>
        <v>-0.30000000074505806</v>
      </c>
      <c r="AC1268" s="55">
        <f t="shared" si="201"/>
        <v>12839380.825753424</v>
      </c>
    </row>
    <row r="1269" spans="1:29">
      <c r="A1269" s="1" t="s">
        <v>490</v>
      </c>
      <c r="B1269" s="16" t="str">
        <f>INDEX(emprunts!C:C,MATCH($A1269,emprunts!A:A,0))</f>
        <v>Dexia CL</v>
      </c>
      <c r="C1269" s="18">
        <f>INDEX(emprunts!M:M,MATCH($A1269,emprunts!$A:$A,0))</f>
        <v>41030</v>
      </c>
      <c r="D1269" s="18">
        <f>IF(INDEX(emprunts!O:O,MATCH($A1269,emprunts!$A:$A,0))="",INDEX(emprunts!N:N,MATCH($A1269,emprunts!$A:$A,0)),MIN(INDEX(emprunts!N:N,MATCH($A1269,emprunts!$A:$A,0)),INDEX(emprunts!O:O,MATCH($A1269,emprunts!$A:$A,0))))</f>
        <v>41760</v>
      </c>
      <c r="E1269" s="52">
        <f>INDEX(emprunts!I:I,MATCH($A1269,emprunts!$A:$A,0))</f>
        <v>17</v>
      </c>
      <c r="F1269" s="18" t="str">
        <f>INDEX(emprunts!P:P,MATCH($A1269,emprunts!$A:$A,0))</f>
        <v>Change</v>
      </c>
      <c r="G1269" s="126" t="str">
        <f>IF(LEFT(A1269,3)="vx_","vx",INDEX(Categorie,MATCH($A1269,emprunts!$A$2:$A$149,0)))</f>
        <v>Struct</v>
      </c>
      <c r="H1269">
        <v>2017</v>
      </c>
      <c r="I1269">
        <f t="shared" si="202"/>
        <v>1</v>
      </c>
      <c r="N1269"/>
      <c r="O1269" s="58"/>
      <c r="Q1269" s="58"/>
      <c r="R1269" s="58"/>
      <c r="S1269" s="58"/>
      <c r="T1269" s="58"/>
      <c r="U1269" s="58"/>
      <c r="V1269" s="14" t="str">
        <f t="shared" si="205"/>
        <v/>
      </c>
      <c r="W1269" s="77"/>
      <c r="X1269" s="85">
        <f t="shared" si="203"/>
        <v>0</v>
      </c>
      <c r="Y1269" s="21" t="str">
        <f t="shared" si="204"/>
        <v/>
      </c>
      <c r="AA1269" s="55">
        <f t="shared" si="199"/>
        <v>0</v>
      </c>
      <c r="AB1269" s="55">
        <f t="shared" si="200"/>
        <v>0</v>
      </c>
      <c r="AC1269" s="55">
        <f t="shared" si="201"/>
        <v>0</v>
      </c>
    </row>
    <row r="1270" spans="1:29">
      <c r="A1270" t="s">
        <v>350</v>
      </c>
      <c r="B1270" s="16" t="str">
        <f>INDEX(emprunts!C:C,MATCH($A1270,emprunts!A:A,0))</f>
        <v>Dexia CL</v>
      </c>
      <c r="C1270" s="18">
        <f>INDEX(emprunts!M:M,MATCH($A1270,emprunts!$A:$A,0))</f>
        <v>41030</v>
      </c>
      <c r="D1270" s="18">
        <f>IF(INDEX(emprunts!O:O,MATCH($A1270,emprunts!$A:$A,0))="",INDEX(emprunts!N:N,MATCH($A1270,emprunts!$A:$A,0)),MIN(INDEX(emprunts!N:N,MATCH($A1270,emprunts!$A:$A,0)),INDEX(emprunts!O:O,MATCH($A1270,emprunts!$A:$A,0))))</f>
        <v>41426</v>
      </c>
      <c r="E1270" s="52">
        <f>INDEX(emprunts!I:I,MATCH($A1270,emprunts!$A:$A,0))</f>
        <v>15</v>
      </c>
      <c r="F1270" s="18" t="str">
        <f>INDEX(emprunts!P:P,MATCH($A1270,emprunts!$A:$A,0))</f>
        <v>Variable</v>
      </c>
      <c r="G1270" s="126" t="str">
        <f>IF(LEFT(A1270,3)="vx_","vx",INDEX(Categorie,MATCH($A1270,emprunts!$A$2:$A$149,0)))</f>
        <v>Non_st</v>
      </c>
      <c r="H1270">
        <v>2017</v>
      </c>
      <c r="I1270">
        <f t="shared" si="202"/>
        <v>1</v>
      </c>
      <c r="N1270"/>
      <c r="O1270" s="58"/>
      <c r="Q1270" s="58"/>
      <c r="R1270" s="58"/>
      <c r="S1270" s="58"/>
      <c r="T1270" s="58"/>
      <c r="U1270" s="58"/>
      <c r="V1270" s="14" t="str">
        <f t="shared" si="205"/>
        <v/>
      </c>
      <c r="W1270" s="77"/>
      <c r="X1270" s="85">
        <f t="shared" si="203"/>
        <v>0</v>
      </c>
      <c r="Y1270" s="21" t="str">
        <f t="shared" si="204"/>
        <v/>
      </c>
      <c r="AA1270" s="55">
        <f t="shared" si="199"/>
        <v>0</v>
      </c>
      <c r="AB1270" s="55">
        <f t="shared" si="200"/>
        <v>0</v>
      </c>
      <c r="AC1270" s="55">
        <f t="shared" si="201"/>
        <v>0</v>
      </c>
    </row>
    <row r="1271" spans="1:29">
      <c r="A1271" t="s">
        <v>352</v>
      </c>
      <c r="B1271" s="16" t="str">
        <f>INDEX(emprunts!C:C,MATCH($A1271,emprunts!A:A,0))</f>
        <v>Caisse d'Épargne</v>
      </c>
      <c r="C1271" s="18">
        <f>INDEX(emprunts!M:M,MATCH($A1271,emprunts!$A:$A,0))</f>
        <v>41167</v>
      </c>
      <c r="D1271" s="18">
        <f>IF(INDEX(emprunts!O:O,MATCH($A1271,emprunts!$A:$A,0))="",INDEX(emprunts!N:N,MATCH($A1271,emprunts!$A:$A,0)),MIN(INDEX(emprunts!N:N,MATCH($A1271,emprunts!$A:$A,0)),INDEX(emprunts!O:O,MATCH($A1271,emprunts!$A:$A,0))))</f>
        <v>48785</v>
      </c>
      <c r="E1271" s="52">
        <f>INDEX(emprunts!I:I,MATCH($A1271,emprunts!$A:$A,0))</f>
        <v>20.8</v>
      </c>
      <c r="F1271" s="18" t="str">
        <f>INDEX(emprunts!P:P,MATCH($A1271,emprunts!$A:$A,0))</f>
        <v>Fixe</v>
      </c>
      <c r="G1271" s="126" t="str">
        <f>IF(LEFT(A1271,3)="vx_","vx",INDEX(Categorie,MATCH($A1271,emprunts!$A$2:$A$149,0)))</f>
        <v>Non_st</v>
      </c>
      <c r="H1271">
        <v>2017</v>
      </c>
      <c r="I1271">
        <f t="shared" si="202"/>
        <v>1</v>
      </c>
      <c r="N1271"/>
      <c r="O1271" s="58">
        <v>17236083</v>
      </c>
      <c r="P1271" s="4">
        <v>4.5100000000000001E-2</v>
      </c>
      <c r="Q1271" s="58">
        <v>798506.77</v>
      </c>
      <c r="R1271" s="58">
        <v>703787.81</v>
      </c>
      <c r="S1271" s="58"/>
      <c r="T1271" s="58">
        <v>143007.54999999999</v>
      </c>
      <c r="U1271" s="58">
        <f>SUM(Q1271:S1271)</f>
        <v>1502294.58</v>
      </c>
      <c r="V1271" s="14">
        <f t="shared" si="205"/>
        <v>0</v>
      </c>
      <c r="W1271" s="77"/>
      <c r="X1271" s="85">
        <f t="shared" si="203"/>
        <v>0</v>
      </c>
      <c r="Y1271" s="21">
        <f t="shared" si="204"/>
        <v>4.5215712950123992E-2</v>
      </c>
      <c r="AA1271" s="55">
        <f t="shared" si="199"/>
        <v>793074.14000000013</v>
      </c>
      <c r="AB1271" s="55">
        <f t="shared" si="200"/>
        <v>-0.19000000134110451</v>
      </c>
      <c r="AC1271" s="55">
        <f t="shared" si="201"/>
        <v>17539790.66690411</v>
      </c>
    </row>
    <row r="1272" spans="1:29">
      <c r="A1272" s="1" t="s">
        <v>493</v>
      </c>
      <c r="B1272" s="16" t="str">
        <f>INDEX(emprunts!C:C,MATCH($A1272,emprunts!A:A,0))</f>
        <v>Dexia CL</v>
      </c>
      <c r="C1272" s="18">
        <f>INDEX(emprunts!M:M,MATCH($A1272,emprunts!$A:$A,0))</f>
        <v>41244</v>
      </c>
      <c r="D1272" s="18">
        <f>IF(INDEX(emprunts!O:O,MATCH($A1272,emprunts!$A:$A,0))="",INDEX(emprunts!N:N,MATCH($A1272,emprunts!$A:$A,0)),MIN(INDEX(emprunts!N:N,MATCH($A1272,emprunts!$A:$A,0)),INDEX(emprunts!O:O,MATCH($A1272,emprunts!$A:$A,0))))</f>
        <v>42675</v>
      </c>
      <c r="E1272" s="52">
        <f>INDEX(emprunts!I:I,MATCH($A1272,emprunts!$A:$A,0))</f>
        <v>17</v>
      </c>
      <c r="F1272" s="18" t="str">
        <f>INDEX(emprunts!P:P,MATCH($A1272,emprunts!$A:$A,0))</f>
        <v>Change</v>
      </c>
      <c r="G1272" s="126" t="str">
        <f>IF(LEFT(A1272,3)="vx_","vx",INDEX(Categorie,MATCH($A1272,emprunts!$A$2:$A$149,0)))</f>
        <v>Struct</v>
      </c>
      <c r="H1272">
        <v>2017</v>
      </c>
      <c r="I1272">
        <f t="shared" si="202"/>
        <v>1</v>
      </c>
      <c r="N1272"/>
      <c r="O1272" s="58"/>
      <c r="Q1272" s="58"/>
      <c r="R1272" s="58"/>
      <c r="S1272" s="58"/>
      <c r="T1272" s="58"/>
      <c r="U1272" s="58"/>
      <c r="V1272" s="14" t="str">
        <f t="shared" si="205"/>
        <v/>
      </c>
      <c r="W1272" s="77"/>
      <c r="X1272" s="85">
        <f t="shared" si="203"/>
        <v>0</v>
      </c>
      <c r="Y1272" s="21" t="str">
        <f t="shared" si="204"/>
        <v/>
      </c>
      <c r="AA1272" s="55">
        <f t="shared" si="199"/>
        <v>0</v>
      </c>
      <c r="AB1272" s="55">
        <f t="shared" si="200"/>
        <v>0</v>
      </c>
      <c r="AC1272" s="55">
        <f t="shared" si="201"/>
        <v>0</v>
      </c>
    </row>
    <row r="1273" spans="1:29" ht="30">
      <c r="A1273" s="1" t="s">
        <v>495</v>
      </c>
      <c r="B1273" s="16" t="str">
        <f>INDEX(emprunts!C:C,MATCH($A1273,emprunts!A:A,0))</f>
        <v>Dexia CL</v>
      </c>
      <c r="C1273" s="18">
        <f>INDEX(emprunts!M:M,MATCH($A1273,emprunts!$A:$A,0))</f>
        <v>41244</v>
      </c>
      <c r="D1273" s="18">
        <f>IF(INDEX(emprunts!O:O,MATCH($A1273,emprunts!$A:$A,0))="",INDEX(emprunts!N:N,MATCH($A1273,emprunts!$A:$A,0)),MIN(INDEX(emprunts!N:N,MATCH($A1273,emprunts!$A:$A,0)),INDEX(emprunts!O:O,MATCH($A1273,emprunts!$A:$A,0))))</f>
        <v>48914</v>
      </c>
      <c r="E1273" s="52">
        <f>INDEX(emprunts!I:I,MATCH($A1273,emprunts!$A:$A,0))</f>
        <v>21</v>
      </c>
      <c r="F1273" s="18" t="str">
        <f>INDEX(emprunts!P:P,MATCH($A1273,emprunts!$A:$A,0))</f>
        <v>Fixe</v>
      </c>
      <c r="G1273" s="126" t="str">
        <f>IF(LEFT(A1273,3)="vx_","vx",INDEX(Categorie,MATCH($A1273,emprunts!$A$2:$A$149,0)))</f>
        <v>Restr_sec</v>
      </c>
      <c r="H1273">
        <v>2017</v>
      </c>
      <c r="I1273">
        <f t="shared" si="202"/>
        <v>1</v>
      </c>
      <c r="N1273"/>
      <c r="O1273" s="58">
        <v>4946181</v>
      </c>
      <c r="P1273" s="4">
        <v>5.21E-2</v>
      </c>
      <c r="Q1273" s="58">
        <v>293584.78000000003</v>
      </c>
      <c r="R1273" s="58">
        <v>676403.01</v>
      </c>
      <c r="S1273" s="58"/>
      <c r="T1273" s="58">
        <v>21227.360000000001</v>
      </c>
      <c r="U1273" s="58">
        <f t="shared" ref="U1273:U1299" si="206">SUM(Q1273:S1273)</f>
        <v>969987.79</v>
      </c>
      <c r="V1273" s="14">
        <f t="shared" si="205"/>
        <v>0</v>
      </c>
      <c r="W1273" s="77"/>
      <c r="X1273" s="85">
        <f t="shared" si="203"/>
        <v>0</v>
      </c>
      <c r="Y1273" s="21">
        <f t="shared" si="204"/>
        <v>5.5158848988999636E-2</v>
      </c>
      <c r="AA1273" s="55">
        <f t="shared" si="199"/>
        <v>290681.88</v>
      </c>
      <c r="AB1273" s="55">
        <f t="shared" si="200"/>
        <v>9.9999997764825821E-3</v>
      </c>
      <c r="AC1273" s="55">
        <f t="shared" si="201"/>
        <v>5269904.7447123285</v>
      </c>
    </row>
    <row r="1274" spans="1:29" ht="30">
      <c r="A1274" s="1" t="s">
        <v>506</v>
      </c>
      <c r="B1274" s="16" t="str">
        <f>INDEX(emprunts!C:C,MATCH($A1274,emprunts!A:A,0))</f>
        <v>Caisse d'Épargne</v>
      </c>
      <c r="C1274" s="18">
        <f>INDEX(emprunts!M:M,MATCH($A1274,emprunts!$A:$A,0))</f>
        <v>41330</v>
      </c>
      <c r="D1274" s="18">
        <f>IF(INDEX(emprunts!O:O,MATCH($A1274,emprunts!$A:$A,0))="",INDEX(emprunts!N:N,MATCH($A1274,emprunts!$A:$A,0)),MIN(INDEX(emprunts!N:N,MATCH($A1274,emprunts!$A:$A,0)),INDEX(emprunts!O:O,MATCH($A1274,emprunts!$A:$A,0))))</f>
        <v>48635</v>
      </c>
      <c r="E1274" s="52">
        <f>INDEX(emprunts!I:I,MATCH($A1274,emprunts!$A:$A,0))</f>
        <v>20</v>
      </c>
      <c r="F1274" s="18" t="str">
        <f>INDEX(emprunts!P:P,MATCH($A1274,emprunts!$A:$A,0))</f>
        <v>Fixe</v>
      </c>
      <c r="G1274" s="126" t="str">
        <f>IF(LEFT(A1274,3)="vx_","vx",INDEX(Categorie,MATCH($A1274,emprunts!$A$2:$A$149,0)))</f>
        <v>Restr_sec</v>
      </c>
      <c r="H1274">
        <v>2017</v>
      </c>
      <c r="I1274">
        <f t="shared" si="202"/>
        <v>1</v>
      </c>
      <c r="N1274"/>
      <c r="O1274" s="58">
        <v>3417940</v>
      </c>
      <c r="P1274" s="4">
        <v>4.4900000000000002E-2</v>
      </c>
      <c r="Q1274" s="58">
        <v>157826.63</v>
      </c>
      <c r="R1274" s="58">
        <v>146170.31</v>
      </c>
      <c r="S1274" s="58"/>
      <c r="T1274" s="58">
        <v>15170.04</v>
      </c>
      <c r="U1274" s="58">
        <f t="shared" si="206"/>
        <v>303996.94</v>
      </c>
      <c r="V1274" s="14">
        <f t="shared" si="205"/>
        <v>0</v>
      </c>
      <c r="W1274" s="77"/>
      <c r="X1274" s="85">
        <f t="shared" si="203"/>
        <v>0</v>
      </c>
      <c r="Y1274" s="21">
        <f t="shared" si="204"/>
        <v>4.515952165887533E-2</v>
      </c>
      <c r="AA1274" s="55">
        <f t="shared" si="199"/>
        <v>157221.1</v>
      </c>
      <c r="AB1274" s="55">
        <f t="shared" si="200"/>
        <v>0.31000000005587935</v>
      </c>
      <c r="AC1274" s="55">
        <f t="shared" si="201"/>
        <v>3481460.7025205479</v>
      </c>
    </row>
    <row r="1275" spans="1:29" ht="30">
      <c r="A1275" s="1" t="s">
        <v>498</v>
      </c>
      <c r="B1275" s="16" t="str">
        <f>INDEX(emprunts!C:C,MATCH($A1275,emprunts!A:A,0))</f>
        <v>Dexia CL</v>
      </c>
      <c r="C1275" s="18">
        <f>INDEX(emprunts!M:M,MATCH($A1275,emprunts!$A:$A,0))</f>
        <v>41426</v>
      </c>
      <c r="D1275" s="18">
        <f>IF(INDEX(emprunts!O:O,MATCH($A1275,emprunts!$A:$A,0))="",INDEX(emprunts!N:N,MATCH($A1275,emprunts!$A:$A,0)),MIN(INDEX(emprunts!N:N,MATCH($A1275,emprunts!$A:$A,0)),INDEX(emprunts!O:O,MATCH($A1275,emprunts!$A:$A,0))))</f>
        <v>48731</v>
      </c>
      <c r="E1275" s="52">
        <f>INDEX(emprunts!I:I,MATCH($A1275,emprunts!$A:$A,0))</f>
        <v>20</v>
      </c>
      <c r="F1275" s="18" t="str">
        <f>INDEX(emprunts!P:P,MATCH($A1275,emprunts!$A:$A,0))</f>
        <v>Fixe</v>
      </c>
      <c r="G1275" s="126" t="str">
        <f>IF(LEFT(A1275,3)="vx_","vx",INDEX(Categorie,MATCH($A1275,emprunts!$A$2:$A$149,0)))</f>
        <v>Restr_sec</v>
      </c>
      <c r="H1275">
        <v>2017</v>
      </c>
      <c r="I1275">
        <f t="shared" si="202"/>
        <v>1</v>
      </c>
      <c r="N1275"/>
      <c r="O1275" s="58">
        <v>14256111</v>
      </c>
      <c r="P1275" s="4">
        <v>5.04E-2</v>
      </c>
      <c r="Q1275" s="58">
        <v>753120.76</v>
      </c>
      <c r="R1275" s="58">
        <v>659632.74</v>
      </c>
      <c r="S1275" s="58"/>
      <c r="T1275" s="58">
        <v>420056.31</v>
      </c>
      <c r="U1275" s="58">
        <f t="shared" si="206"/>
        <v>1412753.5</v>
      </c>
      <c r="V1275" s="14">
        <f t="shared" si="205"/>
        <v>0</v>
      </c>
      <c r="W1275" s="77"/>
      <c r="X1275" s="85">
        <f t="shared" si="203"/>
        <v>0</v>
      </c>
      <c r="Y1275" s="21">
        <f t="shared" si="204"/>
        <v>5.043904844651282E-2</v>
      </c>
      <c r="AA1275" s="55">
        <f t="shared" ref="AA1275:AA1338" si="207">T1275+Q1275+S1275-SUMPRODUCT(($A$123:$A$1367=$A1275)*($H$123:$H$1367=$H1275-1),$T$123:$T$1367)</f>
        <v>733684.68</v>
      </c>
      <c r="AB1275" s="55">
        <f t="shared" ref="AB1275:AB1338" si="208">IF(YEAR(C1275)=H1275,"",O1275+R1275+X1275-W1275-SUMPRODUCT(($A$123:$A$1367=$A1275)*($H$123:$H$1367=$H1275-1),$O$123:$O$1367))</f>
        <v>-0.25999999977648258</v>
      </c>
      <c r="AC1275" s="55">
        <f t="shared" si="201"/>
        <v>14545965.925150685</v>
      </c>
    </row>
    <row r="1276" spans="1:29">
      <c r="A1276" t="s">
        <v>357</v>
      </c>
      <c r="B1276" s="16" t="str">
        <f>INDEX(emprunts!C:C,MATCH($A1276,emprunts!A:A,0))</f>
        <v>Caisse d'Épargne</v>
      </c>
      <c r="C1276" s="18">
        <f>INDEX(emprunts!M:M,MATCH($A1276,emprunts!$A:$A,0))</f>
        <v>41639</v>
      </c>
      <c r="D1276" s="18">
        <f>IF(INDEX(emprunts!O:O,MATCH($A1276,emprunts!$A:$A,0))="",INDEX(emprunts!N:N,MATCH($A1276,emprunts!$A:$A,0)),MIN(INDEX(emprunts!N:N,MATCH($A1276,emprunts!$A:$A,0)),INDEX(emprunts!O:O,MATCH($A1276,emprunts!$A:$A,0))))</f>
        <v>48944</v>
      </c>
      <c r="E1276" s="52">
        <f>INDEX(emprunts!I:I,MATCH($A1276,emprunts!$A:$A,0))</f>
        <v>20</v>
      </c>
      <c r="F1276" s="18" t="str">
        <f>INDEX(emprunts!P:P,MATCH($A1276,emprunts!$A:$A,0))</f>
        <v>Fixe</v>
      </c>
      <c r="G1276" s="126" t="str">
        <f>IF(LEFT(A1276,3)="vx_","vx",INDEX(Categorie,MATCH($A1276,emprunts!$A$2:$A$149,0)))</f>
        <v>Non_st</v>
      </c>
      <c r="H1276">
        <v>2017</v>
      </c>
      <c r="I1276">
        <f t="shared" si="202"/>
        <v>1</v>
      </c>
      <c r="N1276"/>
      <c r="O1276" s="58">
        <v>8000000</v>
      </c>
      <c r="P1276" s="4">
        <v>4.3999999999999997E-2</v>
      </c>
      <c r="Q1276" s="58">
        <v>374885.42</v>
      </c>
      <c r="R1276" s="58">
        <v>500000</v>
      </c>
      <c r="S1276" s="58"/>
      <c r="T1276" s="58">
        <v>0</v>
      </c>
      <c r="U1276" s="58">
        <f t="shared" si="206"/>
        <v>874885.41999999993</v>
      </c>
      <c r="V1276" s="14">
        <f t="shared" si="205"/>
        <v>0</v>
      </c>
      <c r="W1276" s="77"/>
      <c r="X1276" s="85">
        <f t="shared" si="203"/>
        <v>0</v>
      </c>
      <c r="Y1276" s="21">
        <f t="shared" si="204"/>
        <v>4.5565493939393936E-2</v>
      </c>
      <c r="AA1276" s="55">
        <f t="shared" si="207"/>
        <v>374885.42</v>
      </c>
      <c r="AB1276" s="55">
        <f t="shared" si="208"/>
        <v>0</v>
      </c>
      <c r="AC1276" s="55">
        <f t="shared" si="201"/>
        <v>8227397.2602739725</v>
      </c>
    </row>
    <row r="1277" spans="1:29" ht="30">
      <c r="A1277" t="s">
        <v>358</v>
      </c>
      <c r="B1277" s="16" t="str">
        <f>INDEX(emprunts!C:C,MATCH($A1277,emprunts!A:A,0))</f>
        <v>Société Générale</v>
      </c>
      <c r="C1277" s="18">
        <f>INDEX(emprunts!M:M,MATCH($A1277,emprunts!$A:$A,0))</f>
        <v>41640</v>
      </c>
      <c r="D1277" s="18">
        <f>IF(INDEX(emprunts!O:O,MATCH($A1277,emprunts!$A:$A,0))="",INDEX(emprunts!N:N,MATCH($A1277,emprunts!$A:$A,0)),MIN(INDEX(emprunts!N:N,MATCH($A1277,emprunts!$A:$A,0)),INDEX(emprunts!O:O,MATCH($A1277,emprunts!$A:$A,0))))</f>
        <v>49310</v>
      </c>
      <c r="E1277" s="52">
        <f>INDEX(emprunts!I:I,MATCH($A1277,emprunts!$A:$A,0))</f>
        <v>21</v>
      </c>
      <c r="F1277" s="18" t="str">
        <f>INDEX(emprunts!P:P,MATCH($A1277,emprunts!$A:$A,0))</f>
        <v>Fixe</v>
      </c>
      <c r="G1277" s="126" t="str">
        <f>IF(LEFT(A1277,3)="vx_","vx",INDEX(Categorie,MATCH($A1277,emprunts!$A$2:$A$149,0)))</f>
        <v>Restr_sec</v>
      </c>
      <c r="H1277">
        <v>2017</v>
      </c>
      <c r="I1277">
        <f t="shared" si="202"/>
        <v>1</v>
      </c>
      <c r="N1277"/>
      <c r="O1277" s="58">
        <v>3712297</v>
      </c>
      <c r="P1277" s="4">
        <v>4.8500000000000001E-2</v>
      </c>
      <c r="Q1277" s="58">
        <v>181184.58</v>
      </c>
      <c r="R1277" s="58">
        <v>125674.42</v>
      </c>
      <c r="S1277" s="58"/>
      <c r="T1277" s="58">
        <v>14849.19</v>
      </c>
      <c r="U1277" s="58">
        <f t="shared" si="206"/>
        <v>306859</v>
      </c>
      <c r="V1277" s="14">
        <f t="shared" si="205"/>
        <v>0</v>
      </c>
      <c r="W1277" s="77"/>
      <c r="X1277" s="85">
        <f t="shared" si="203"/>
        <v>0</v>
      </c>
      <c r="Y1277" s="21">
        <f t="shared" si="204"/>
        <v>4.7992534493550836E-2</v>
      </c>
      <c r="AA1277" s="55">
        <f t="shared" si="207"/>
        <v>180681.88</v>
      </c>
      <c r="AB1277" s="55">
        <f t="shared" si="208"/>
        <v>0.41999999992549419</v>
      </c>
      <c r="AC1277" s="55">
        <f t="shared" si="201"/>
        <v>3764791.3765479452</v>
      </c>
    </row>
    <row r="1278" spans="1:29" ht="30">
      <c r="A1278" t="s">
        <v>359</v>
      </c>
      <c r="B1278" s="16" t="str">
        <f>INDEX(emprunts!C:C,MATCH($A1278,emprunts!A:A,0))</f>
        <v>Dexia CL</v>
      </c>
      <c r="C1278" s="18">
        <f>INDEX(emprunts!M:M,MATCH($A1278,emprunts!$A:$A,0))</f>
        <v>41654</v>
      </c>
      <c r="D1278" s="18">
        <f>IF(INDEX(emprunts!O:O,MATCH($A1278,emprunts!$A:$A,0))="",INDEX(emprunts!N:N,MATCH($A1278,emprunts!$A:$A,0)),MIN(INDEX(emprunts!N:N,MATCH($A1278,emprunts!$A:$A,0)),INDEX(emprunts!O:O,MATCH($A1278,emprunts!$A:$A,0))))</f>
        <v>48884</v>
      </c>
      <c r="E1278" s="52">
        <f>INDEX(emprunts!I:I,MATCH($A1278,emprunts!$A:$A,0))</f>
        <v>19.829999999999998</v>
      </c>
      <c r="F1278" s="18" t="str">
        <f>INDEX(emprunts!P:P,MATCH($A1278,emprunts!$A:$A,0))</f>
        <v>Fixe</v>
      </c>
      <c r="G1278" s="126" t="str">
        <f>IF(LEFT(A1278,3)="vx_","vx",INDEX(Categorie,MATCH($A1278,emprunts!$A$2:$A$149,0)))</f>
        <v>Restr_sec</v>
      </c>
      <c r="H1278">
        <v>2017</v>
      </c>
      <c r="I1278">
        <f t="shared" si="202"/>
        <v>1</v>
      </c>
      <c r="N1278"/>
      <c r="O1278" s="58">
        <v>20172935</v>
      </c>
      <c r="P1278" s="4">
        <v>4.6899999999999997E-2</v>
      </c>
      <c r="Q1278" s="58">
        <v>1004570.59</v>
      </c>
      <c r="R1278" s="58">
        <v>1180714.81</v>
      </c>
      <c r="S1278" s="58"/>
      <c r="T1278" s="58">
        <v>156004.03</v>
      </c>
      <c r="U1278" s="58">
        <f t="shared" si="206"/>
        <v>2185285.4</v>
      </c>
      <c r="V1278" s="14">
        <f t="shared" si="205"/>
        <v>0</v>
      </c>
      <c r="W1278" s="77"/>
      <c r="X1278" s="85">
        <f t="shared" si="203"/>
        <v>0</v>
      </c>
      <c r="Y1278" s="21">
        <f t="shared" si="204"/>
        <v>4.8073996891388811E-2</v>
      </c>
      <c r="AA1278" s="55">
        <f t="shared" si="207"/>
        <v>995439.72999999986</v>
      </c>
      <c r="AB1278" s="55">
        <f t="shared" si="208"/>
        <v>-0.19000000134110451</v>
      </c>
      <c r="AC1278" s="55">
        <f t="shared" si="201"/>
        <v>20706406.672383562</v>
      </c>
    </row>
    <row r="1279" spans="1:29">
      <c r="A1279" t="s">
        <v>360</v>
      </c>
      <c r="B1279" s="16" t="str">
        <f>INDEX(emprunts!C:C,MATCH($A1279,emprunts!A:A,0))</f>
        <v>Caisse d'Épargne</v>
      </c>
      <c r="C1279" s="18">
        <f>INDEX(emprunts!M:M,MATCH($A1279,emprunts!$A:$A,0))</f>
        <v>41695</v>
      </c>
      <c r="D1279" s="18">
        <f>IF(INDEX(emprunts!O:O,MATCH($A1279,emprunts!$A:$A,0))="",INDEX(emprunts!N:N,MATCH($A1279,emprunts!$A:$A,0)),MIN(INDEX(emprunts!N:N,MATCH($A1279,emprunts!$A:$A,0)),INDEX(emprunts!O:O,MATCH($A1279,emprunts!$A:$A,0))))</f>
        <v>43156</v>
      </c>
      <c r="E1279" s="52">
        <f>INDEX(emprunts!I:I,MATCH($A1279,emprunts!$A:$A,0))</f>
        <v>5</v>
      </c>
      <c r="F1279" s="18" t="str">
        <f>INDEX(emprunts!P:P,MATCH($A1279,emprunts!$A:$A,0))</f>
        <v>Courbes</v>
      </c>
      <c r="G1279" s="126" t="str">
        <f>IF(LEFT(A1279,3)="vx_","vx",INDEX(Categorie,MATCH($A1279,emprunts!$A$2:$A$149,0)))</f>
        <v>Struct</v>
      </c>
      <c r="H1279">
        <v>2017</v>
      </c>
      <c r="I1279">
        <f t="shared" si="202"/>
        <v>1</v>
      </c>
      <c r="N1279"/>
      <c r="O1279" s="58">
        <v>5335570</v>
      </c>
      <c r="P1279" s="74">
        <v>0.1011</v>
      </c>
      <c r="Q1279" s="58">
        <v>303935.53999999998</v>
      </c>
      <c r="R1279" s="58">
        <v>643489.56000000006</v>
      </c>
      <c r="S1279" s="58"/>
      <c r="T1279" s="58">
        <v>503766.75</v>
      </c>
      <c r="U1279" s="58">
        <f t="shared" si="206"/>
        <v>947425.10000000009</v>
      </c>
      <c r="V1279" s="14">
        <f t="shared" si="205"/>
        <v>0</v>
      </c>
      <c r="W1279" s="77"/>
      <c r="X1279" s="85">
        <f t="shared" si="203"/>
        <v>0</v>
      </c>
      <c r="Y1279" s="21">
        <f t="shared" si="204"/>
        <v>9.7534308013212556E-2</v>
      </c>
      <c r="AA1279" s="55">
        <f t="shared" si="207"/>
        <v>550270.55000000005</v>
      </c>
      <c r="AB1279" s="55">
        <f t="shared" si="208"/>
        <v>-0.43999999947845936</v>
      </c>
      <c r="AC1279" s="55">
        <f t="shared" si="201"/>
        <v>5641815.2874520551</v>
      </c>
    </row>
    <row r="1280" spans="1:29" ht="30">
      <c r="A1280" t="s">
        <v>361</v>
      </c>
      <c r="B1280" s="16" t="str">
        <f>INDEX(emprunts!C:C,MATCH($A1280,emprunts!A:A,0))</f>
        <v>Caisse d'Épargne</v>
      </c>
      <c r="C1280" s="18">
        <f>INDEX(emprunts!M:M,MATCH($A1280,emprunts!$A:$A,0))</f>
        <v>41695</v>
      </c>
      <c r="D1280" s="18">
        <f>IF(INDEX(emprunts!O:O,MATCH($A1280,emprunts!$A:$A,0))="",INDEX(emprunts!N:N,MATCH($A1280,emprunts!$A:$A,0)),MIN(INDEX(emprunts!N:N,MATCH($A1280,emprunts!$A:$A,0)),INDEX(emprunts!O:O,MATCH($A1280,emprunts!$A:$A,0))))</f>
        <v>46078</v>
      </c>
      <c r="E1280" s="52">
        <f>INDEX(emprunts!I:I,MATCH($A1280,emprunts!$A:$A,0))</f>
        <v>12</v>
      </c>
      <c r="F1280" s="18" t="str">
        <f>INDEX(emprunts!P:P,MATCH($A1280,emprunts!$A:$A,0))</f>
        <v>Fixe</v>
      </c>
      <c r="G1280" s="126" t="str">
        <f>IF(LEFT(A1280,3)="vx_","vx",INDEX(Categorie,MATCH($A1280,emprunts!$A$2:$A$149,0)))</f>
        <v>Restr_sec</v>
      </c>
      <c r="H1280">
        <v>2017</v>
      </c>
      <c r="I1280">
        <f t="shared" si="202"/>
        <v>1</v>
      </c>
      <c r="N1280"/>
      <c r="O1280" s="58">
        <v>1874660</v>
      </c>
      <c r="P1280" s="4">
        <v>4.7800000000000002E-2</v>
      </c>
      <c r="Q1280" s="58">
        <v>101021.59</v>
      </c>
      <c r="R1280" s="58">
        <v>226090.93</v>
      </c>
      <c r="S1280" s="58"/>
      <c r="T1280" s="58">
        <v>76109.61</v>
      </c>
      <c r="U1280" s="58">
        <f t="shared" si="206"/>
        <v>327112.52</v>
      </c>
      <c r="V1280" s="14">
        <f t="shared" si="205"/>
        <v>0</v>
      </c>
      <c r="W1280" s="77"/>
      <c r="X1280" s="85">
        <f t="shared" si="203"/>
        <v>0</v>
      </c>
      <c r="Y1280" s="21">
        <f t="shared" si="204"/>
        <v>4.6192973683987809E-2</v>
      </c>
      <c r="AA1280" s="55">
        <f t="shared" si="207"/>
        <v>91566.470000000016</v>
      </c>
      <c r="AB1280" s="55">
        <f t="shared" si="208"/>
        <v>0.93000000016763806</v>
      </c>
      <c r="AC1280" s="55">
        <f t="shared" si="201"/>
        <v>1982259.6966027399</v>
      </c>
    </row>
    <row r="1281" spans="1:29" ht="30">
      <c r="A1281" t="s">
        <v>362</v>
      </c>
      <c r="B1281" s="16" t="str">
        <f>INDEX(emprunts!C:C,MATCH($A1281,emprunts!A:A,0))</f>
        <v>Société Générale</v>
      </c>
      <c r="C1281" s="18">
        <f>INDEX(emprunts!M:M,MATCH($A1281,emprunts!$A:$A,0))</f>
        <v>41730</v>
      </c>
      <c r="D1281" s="18">
        <f>IF(INDEX(emprunts!O:O,MATCH($A1281,emprunts!$A:$A,0))="",INDEX(emprunts!N:N,MATCH($A1281,emprunts!$A:$A,0)),MIN(INDEX(emprunts!N:N,MATCH($A1281,emprunts!$A:$A,0)),INDEX(emprunts!O:O,MATCH($A1281,emprunts!$A:$A,0))))</f>
        <v>49400</v>
      </c>
      <c r="E1281" s="52">
        <f>INDEX(emprunts!I:I,MATCH($A1281,emprunts!$A:$A,0))</f>
        <v>21</v>
      </c>
      <c r="F1281" s="18" t="str">
        <f>INDEX(emprunts!P:P,MATCH($A1281,emprunts!$A:$A,0))</f>
        <v>Fixe</v>
      </c>
      <c r="G1281" s="126" t="str">
        <f>IF(LEFT(A1281,3)="vx_","vx",INDEX(Categorie,MATCH($A1281,emprunts!$A$2:$A$149,0)))</f>
        <v>Restr_sec</v>
      </c>
      <c r="H1281">
        <v>2017</v>
      </c>
      <c r="I1281">
        <f t="shared" si="202"/>
        <v>1</v>
      </c>
      <c r="N1281"/>
      <c r="O1281" s="58">
        <v>3094916</v>
      </c>
      <c r="P1281" s="4">
        <v>4.8500000000000001E-2</v>
      </c>
      <c r="Q1281" s="58">
        <v>152309.6</v>
      </c>
      <c r="R1281" s="58">
        <v>104773.9</v>
      </c>
      <c r="S1281" s="58"/>
      <c r="T1281" s="58">
        <v>12379.66</v>
      </c>
      <c r="U1281" s="58">
        <f t="shared" si="206"/>
        <v>257083.5</v>
      </c>
      <c r="V1281" s="14">
        <f t="shared" si="205"/>
        <v>0</v>
      </c>
      <c r="W1281" s="77"/>
      <c r="X1281" s="85">
        <f t="shared" si="203"/>
        <v>0</v>
      </c>
      <c r="Y1281" s="21">
        <f t="shared" si="204"/>
        <v>4.8393111185374316E-2</v>
      </c>
      <c r="AA1281" s="55">
        <f t="shared" si="207"/>
        <v>151890.5</v>
      </c>
      <c r="AB1281" s="55">
        <f t="shared" si="208"/>
        <v>-0.10000000009313226</v>
      </c>
      <c r="AC1281" s="55">
        <f t="shared" si="201"/>
        <v>3138680.2021917813</v>
      </c>
    </row>
    <row r="1282" spans="1:29">
      <c r="A1282" t="s">
        <v>363</v>
      </c>
      <c r="B1282" s="16" t="str">
        <f>INDEX(emprunts!C:C,MATCH($A1282,emprunts!A:A,0))</f>
        <v>Dexia CL</v>
      </c>
      <c r="C1282" s="18">
        <f>INDEX(emprunts!M:M,MATCH($A1282,emprunts!$A:$A,0))</f>
        <v>41760</v>
      </c>
      <c r="D1282" s="18">
        <f>IF(INDEX(emprunts!O:O,MATCH($A1282,emprunts!$A:$A,0))="",INDEX(emprunts!N:N,MATCH($A1282,emprunts!$A:$A,0)),MIN(INDEX(emprunts!N:N,MATCH($A1282,emprunts!$A:$A,0)),INDEX(emprunts!O:O,MATCH($A1282,emprunts!$A:$A,0))))</f>
        <v>47239</v>
      </c>
      <c r="E1282" s="52">
        <f>INDEX(emprunts!I:I,MATCH($A1282,emprunts!$A:$A,0))</f>
        <v>15</v>
      </c>
      <c r="F1282" s="18" t="str">
        <f>INDEX(emprunts!P:P,MATCH($A1282,emprunts!$A:$A,0))</f>
        <v>Fixe</v>
      </c>
      <c r="G1282" s="126" t="str">
        <f>IF(LEFT(A1282,3)="vx_","vx",INDEX(Categorie,MATCH($A1282,emprunts!$A$2:$A$149,0)))</f>
        <v>Non_st</v>
      </c>
      <c r="H1282">
        <v>2017</v>
      </c>
      <c r="I1282">
        <f t="shared" si="202"/>
        <v>1</v>
      </c>
      <c r="N1282"/>
      <c r="O1282" s="58">
        <v>5123436</v>
      </c>
      <c r="P1282" s="4">
        <v>0.04</v>
      </c>
      <c r="Q1282" s="58">
        <v>218014.09</v>
      </c>
      <c r="R1282" s="58">
        <v>306554.23999999999</v>
      </c>
      <c r="S1282" s="58"/>
      <c r="T1282" s="58">
        <v>137513.01</v>
      </c>
      <c r="U1282" s="58">
        <f t="shared" si="206"/>
        <v>524568.32999999996</v>
      </c>
      <c r="V1282" s="14">
        <f t="shared" si="205"/>
        <v>0</v>
      </c>
      <c r="W1282" s="77"/>
      <c r="X1282" s="85">
        <f t="shared" si="203"/>
        <v>0</v>
      </c>
      <c r="Y1282" s="21">
        <f t="shared" si="204"/>
        <v>3.9866200956528049E-2</v>
      </c>
      <c r="AA1282" s="55">
        <f t="shared" si="207"/>
        <v>209786.16999999998</v>
      </c>
      <c r="AB1282" s="55">
        <f t="shared" si="208"/>
        <v>0.24000000022351742</v>
      </c>
      <c r="AC1282" s="55">
        <f t="shared" si="201"/>
        <v>5262256.3717260277</v>
      </c>
    </row>
    <row r="1283" spans="1:29" ht="30">
      <c r="A1283" t="s">
        <v>364</v>
      </c>
      <c r="B1283" s="16" t="str">
        <f>INDEX(emprunts!C:C,MATCH($A1283,emprunts!A:A,0))</f>
        <v>Dexia CL</v>
      </c>
      <c r="C1283" s="18">
        <f>INDEX(emprunts!M:M,MATCH($A1283,emprunts!$A:$A,0))</f>
        <v>41760</v>
      </c>
      <c r="D1283" s="18">
        <f>IF(INDEX(emprunts!O:O,MATCH($A1283,emprunts!$A:$A,0))="",INDEX(emprunts!N:N,MATCH($A1283,emprunts!$A:$A,0)),MIN(INDEX(emprunts!N:N,MATCH($A1283,emprunts!$A:$A,0)),INDEX(emprunts!O:O,MATCH($A1283,emprunts!$A:$A,0))))</f>
        <v>49796</v>
      </c>
      <c r="E1283" s="52">
        <f>INDEX(emprunts!I:I,MATCH($A1283,emprunts!$A:$A,0))</f>
        <v>22</v>
      </c>
      <c r="F1283" s="18" t="str">
        <f>INDEX(emprunts!P:P,MATCH($A1283,emprunts!$A:$A,0))</f>
        <v>Fixe</v>
      </c>
      <c r="G1283" s="126" t="str">
        <f>IF(LEFT(A1283,3)="vx_","vx",INDEX(Categorie,MATCH($A1283,emprunts!$A$2:$A$149,0)))</f>
        <v>Restr_aidé</v>
      </c>
      <c r="H1283">
        <v>2017</v>
      </c>
      <c r="I1283">
        <f t="shared" si="202"/>
        <v>1</v>
      </c>
      <c r="N1283"/>
      <c r="O1283" s="58">
        <v>33390826</v>
      </c>
      <c r="P1283" s="4">
        <v>4.7199999999999999E-2</v>
      </c>
      <c r="Q1283" s="58">
        <v>1652047.67</v>
      </c>
      <c r="R1283" s="58">
        <v>1500328.05</v>
      </c>
      <c r="S1283" s="58"/>
      <c r="T1283" s="58">
        <v>1056893.83</v>
      </c>
      <c r="U1283" s="58">
        <f t="shared" si="206"/>
        <v>3152375.7199999997</v>
      </c>
      <c r="V1283" s="14">
        <f t="shared" si="205"/>
        <v>0</v>
      </c>
      <c r="W1283" s="77"/>
      <c r="X1283" s="85">
        <f t="shared" si="203"/>
        <v>0</v>
      </c>
      <c r="Y1283" s="21">
        <f t="shared" si="204"/>
        <v>4.7127135967801111E-2</v>
      </c>
      <c r="AA1283" s="55">
        <f t="shared" si="207"/>
        <v>1604558.95</v>
      </c>
      <c r="AB1283" s="55">
        <f t="shared" si="208"/>
        <v>4.9999997019767761E-2</v>
      </c>
      <c r="AC1283" s="55">
        <f t="shared" si="201"/>
        <v>34047453.066027395</v>
      </c>
    </row>
    <row r="1284" spans="1:29">
      <c r="A1284" t="s">
        <v>365</v>
      </c>
      <c r="B1284" s="16" t="str">
        <f>INDEX(emprunts!C:C,MATCH($A1284,emprunts!A:A,0))</f>
        <v>Société Générale</v>
      </c>
      <c r="C1284" s="18">
        <f>INDEX(emprunts!M:M,MATCH($A1284,emprunts!$A:$A,0))</f>
        <v>41820</v>
      </c>
      <c r="D1284" s="18">
        <f>IF(INDEX(emprunts!O:O,MATCH($A1284,emprunts!$A:$A,0))="",INDEX(emprunts!N:N,MATCH($A1284,emprunts!$A:$A,0)),MIN(INDEX(emprunts!N:N,MATCH($A1284,emprunts!$A:$A,0)),INDEX(emprunts!O:O,MATCH($A1284,emprunts!$A:$A,0))))</f>
        <v>49460</v>
      </c>
      <c r="E1284" s="52">
        <f>INDEX(emprunts!I:I,MATCH($A1284,emprunts!$A:$A,0))</f>
        <v>20</v>
      </c>
      <c r="F1284" s="18" t="str">
        <f>INDEX(emprunts!P:P,MATCH($A1284,emprunts!$A:$A,0))</f>
        <v>Variable</v>
      </c>
      <c r="G1284" s="126" t="str">
        <f>IF(LEFT(A1284,3)="vx_","vx",INDEX(Categorie,MATCH($A1284,emprunts!$A$2:$A$149,0)))</f>
        <v>Non_st</v>
      </c>
      <c r="H1284">
        <v>2017</v>
      </c>
      <c r="I1284">
        <f t="shared" si="202"/>
        <v>1</v>
      </c>
      <c r="N1284"/>
      <c r="O1284" s="58">
        <v>4375000</v>
      </c>
      <c r="P1284" s="4">
        <v>1.52E-2</v>
      </c>
      <c r="Q1284" s="58">
        <v>69155.19</v>
      </c>
      <c r="R1284" s="58">
        <v>250000</v>
      </c>
      <c r="S1284" s="58"/>
      <c r="T1284" s="58">
        <v>10930.21</v>
      </c>
      <c r="U1284" s="58">
        <f t="shared" si="206"/>
        <v>319155.19</v>
      </c>
      <c r="V1284" s="14">
        <f t="shared" si="205"/>
        <v>0</v>
      </c>
      <c r="W1284" s="77"/>
      <c r="X1284" s="85">
        <f t="shared" si="203"/>
        <v>0</v>
      </c>
      <c r="Y1284" s="21">
        <f t="shared" si="204"/>
        <v>1.5239944383394381E-2</v>
      </c>
      <c r="AA1284" s="55">
        <f t="shared" si="207"/>
        <v>68391.859999999986</v>
      </c>
      <c r="AB1284" s="55">
        <f t="shared" si="208"/>
        <v>0</v>
      </c>
      <c r="AC1284" s="55">
        <f t="shared" si="201"/>
        <v>4487671.2328767125</v>
      </c>
    </row>
    <row r="1285" spans="1:29">
      <c r="A1285" t="s">
        <v>366</v>
      </c>
      <c r="B1285" s="16" t="str">
        <f>INDEX(emprunts!C:C,MATCH($A1285,emprunts!A:A,0))</f>
        <v>Caisse d'Épargne</v>
      </c>
      <c r="C1285" s="18">
        <f>INDEX(emprunts!M:M,MATCH($A1285,emprunts!$A:$A,0))</f>
        <v>41912</v>
      </c>
      <c r="D1285" s="18">
        <f>IF(INDEX(emprunts!O:O,MATCH($A1285,emprunts!$A:$A,0))="",INDEX(emprunts!N:N,MATCH($A1285,emprunts!$A:$A,0)),MIN(INDEX(emprunts!N:N,MATCH($A1285,emprunts!$A:$A,0)),INDEX(emprunts!O:O,MATCH($A1285,emprunts!$A:$A,0))))</f>
        <v>49217</v>
      </c>
      <c r="E1285" s="52">
        <f>INDEX(emprunts!I:I,MATCH($A1285,emprunts!$A:$A,0))</f>
        <v>20</v>
      </c>
      <c r="F1285" s="18" t="str">
        <f>INDEX(emprunts!P:P,MATCH($A1285,emprunts!$A:$A,0))</f>
        <v>Fixe</v>
      </c>
      <c r="G1285" s="126" t="str">
        <f>IF(LEFT(A1285,3)="vx_","vx",INDEX(Categorie,MATCH($A1285,emprunts!$A$2:$A$149,0)))</f>
        <v>Non_st</v>
      </c>
      <c r="H1285">
        <v>2017</v>
      </c>
      <c r="I1285">
        <f t="shared" si="202"/>
        <v>1</v>
      </c>
      <c r="N1285"/>
      <c r="O1285" s="58">
        <v>8500000</v>
      </c>
      <c r="P1285" s="4">
        <v>4.3999999999999997E-2</v>
      </c>
      <c r="Q1285" s="58">
        <v>396937.5</v>
      </c>
      <c r="R1285" s="58">
        <v>500000</v>
      </c>
      <c r="S1285" s="58"/>
      <c r="T1285" s="58">
        <v>94491.67</v>
      </c>
      <c r="U1285" s="58">
        <f t="shared" si="206"/>
        <v>896937.5</v>
      </c>
      <c r="V1285" s="14">
        <f t="shared" si="205"/>
        <v>0</v>
      </c>
      <c r="W1285" s="77"/>
      <c r="X1285" s="85">
        <f t="shared" si="203"/>
        <v>0</v>
      </c>
      <c r="Y1285" s="21">
        <f t="shared" si="204"/>
        <v>4.4851929999999991E-2</v>
      </c>
      <c r="AA1285" s="55">
        <f t="shared" si="207"/>
        <v>391379.17</v>
      </c>
      <c r="AB1285" s="55">
        <f t="shared" si="208"/>
        <v>0</v>
      </c>
      <c r="AC1285" s="55">
        <f t="shared" si="201"/>
        <v>8726027.3972602747</v>
      </c>
    </row>
    <row r="1286" spans="1:29">
      <c r="A1286" t="s">
        <v>367</v>
      </c>
      <c r="B1286" s="16" t="str">
        <f>INDEX(emprunts!C:C,MATCH($A1286,emprunts!A:A,0))</f>
        <v>Caisse d'Épargne</v>
      </c>
      <c r="C1286" s="18">
        <f>INDEX(emprunts!M:M,MATCH($A1286,emprunts!$A:$A,0))</f>
        <v>42004</v>
      </c>
      <c r="D1286" s="18">
        <f>IF(INDEX(emprunts!O:O,MATCH($A1286,emprunts!$A:$A,0))="",INDEX(emprunts!N:N,MATCH($A1286,emprunts!$A:$A,0)),MIN(INDEX(emprunts!N:N,MATCH($A1286,emprunts!$A:$A,0)),INDEX(emprunts!O:O,MATCH($A1286,emprunts!$A:$A,0))))</f>
        <v>49309</v>
      </c>
      <c r="E1286" s="52">
        <f>INDEX(emprunts!I:I,MATCH($A1286,emprunts!$A:$A,0))</f>
        <v>20</v>
      </c>
      <c r="F1286" s="18" t="str">
        <f>INDEX(emprunts!P:P,MATCH($A1286,emprunts!$A:$A,0))</f>
        <v>Fixe</v>
      </c>
      <c r="G1286" s="126" t="str">
        <f>IF(LEFT(A1286,3)="vx_","vx",INDEX(Categorie,MATCH($A1286,emprunts!$A$2:$A$149,0)))</f>
        <v>Non_st</v>
      </c>
      <c r="H1286">
        <v>2017</v>
      </c>
      <c r="I1286">
        <f t="shared" si="202"/>
        <v>1</v>
      </c>
      <c r="N1286"/>
      <c r="O1286" s="58">
        <v>8500000</v>
      </c>
      <c r="P1286" s="4">
        <v>4.2299999999999997E-2</v>
      </c>
      <c r="Q1286" s="58">
        <v>381425</v>
      </c>
      <c r="R1286" s="58">
        <v>500000</v>
      </c>
      <c r="S1286" s="58"/>
      <c r="T1286" s="58">
        <v>0</v>
      </c>
      <c r="U1286" s="58">
        <f t="shared" si="206"/>
        <v>881425</v>
      </c>
      <c r="V1286" s="14">
        <f t="shared" si="205"/>
        <v>0</v>
      </c>
      <c r="W1286" s="77"/>
      <c r="X1286" s="85">
        <f t="shared" si="203"/>
        <v>0</v>
      </c>
      <c r="Y1286" s="21">
        <f t="shared" si="204"/>
        <v>4.3711185243328093E-2</v>
      </c>
      <c r="AA1286" s="55">
        <f t="shared" si="207"/>
        <v>381425</v>
      </c>
      <c r="AB1286" s="55">
        <f t="shared" si="208"/>
        <v>0</v>
      </c>
      <c r="AC1286" s="55">
        <f t="shared" si="201"/>
        <v>8726027.3972602747</v>
      </c>
    </row>
    <row r="1287" spans="1:29">
      <c r="A1287" t="s">
        <v>368</v>
      </c>
      <c r="B1287" s="16" t="str">
        <f>INDEX(emprunts!C:C,MATCH($A1287,emprunts!A:A,0))</f>
        <v>Crédit Foncier</v>
      </c>
      <c r="C1287" s="18">
        <f>INDEX(emprunts!M:M,MATCH($A1287,emprunts!$A:$A,0))</f>
        <v>42048</v>
      </c>
      <c r="D1287" s="18">
        <f>IF(INDEX(emprunts!O:O,MATCH($A1287,emprunts!$A:$A,0))="",INDEX(emprunts!N:N,MATCH($A1287,emprunts!$A:$A,0)),MIN(INDEX(emprunts!N:N,MATCH($A1287,emprunts!$A:$A,0)),INDEX(emprunts!O:O,MATCH($A1287,emprunts!$A:$A,0))))</f>
        <v>47527</v>
      </c>
      <c r="E1287" s="52">
        <f>INDEX(emprunts!I:I,MATCH($A1287,emprunts!$A:$A,0))</f>
        <v>15</v>
      </c>
      <c r="F1287" s="18" t="str">
        <f>INDEX(emprunts!P:P,MATCH($A1287,emprunts!$A:$A,0))</f>
        <v>Fixe</v>
      </c>
      <c r="G1287" s="126" t="str">
        <f>IF(LEFT(A1287,3)="vx_","vx",INDEX(Categorie,MATCH($A1287,emprunts!$A$2:$A$149,0)))</f>
        <v>Non_st</v>
      </c>
      <c r="H1287">
        <v>2017</v>
      </c>
      <c r="I1287">
        <f t="shared" si="202"/>
        <v>1</v>
      </c>
      <c r="N1287"/>
      <c r="O1287" s="58">
        <v>4333333</v>
      </c>
      <c r="P1287" s="4">
        <v>3.7100000000000001E-2</v>
      </c>
      <c r="Q1287" s="58">
        <v>173600</v>
      </c>
      <c r="R1287" s="58">
        <v>333333.33</v>
      </c>
      <c r="S1287" s="58"/>
      <c r="T1287" s="58">
        <v>141945.56</v>
      </c>
      <c r="U1287" s="58">
        <f t="shared" si="206"/>
        <v>506933.33</v>
      </c>
      <c r="V1287" s="14">
        <f t="shared" si="205"/>
        <v>0</v>
      </c>
      <c r="W1287" s="77"/>
      <c r="X1287" s="85">
        <f t="shared" si="203"/>
        <v>0</v>
      </c>
      <c r="Y1287" s="21">
        <f t="shared" si="204"/>
        <v>3.6250679621738627E-2</v>
      </c>
      <c r="AA1287" s="55">
        <f t="shared" si="207"/>
        <v>162681.12</v>
      </c>
      <c r="AB1287" s="55">
        <f t="shared" si="208"/>
        <v>-0.66999999992549419</v>
      </c>
      <c r="AC1287" s="55">
        <f t="shared" ref="AC1287:AC1317" si="209">MAX(0,(C1287-DATE(H1287,1,1))/365)*0+MAX(0,MIN(1,(MIN(DATE(H1287,12,31),D1287)-MAX(DATE(H1287,1,1),C1287))/365))*(O1287+X1287+R1287/2)</f>
        <v>4487670.8987945206</v>
      </c>
    </row>
    <row r="1288" spans="1:29" ht="30">
      <c r="A1288" s="1" t="s">
        <v>525</v>
      </c>
      <c r="B1288" s="16" t="str">
        <f>INDEX(emprunts!C:C,MATCH($A1288,emprunts!A:A,0))</f>
        <v>Dexia CL</v>
      </c>
      <c r="C1288" s="18">
        <f>INDEX(emprunts!M:M,MATCH($A1288,emprunts!$A:$A,0))</f>
        <v>42125</v>
      </c>
      <c r="D1288" s="18">
        <f>IF(INDEX(emprunts!O:O,MATCH($A1288,emprunts!$A:$A,0))="",INDEX(emprunts!N:N,MATCH($A1288,emprunts!$A:$A,0)),MIN(INDEX(emprunts!N:N,MATCH($A1288,emprunts!$A:$A,0)),INDEX(emprunts!O:O,MATCH($A1288,emprunts!$A:$A,0))))</f>
        <v>49430</v>
      </c>
      <c r="E1288" s="52">
        <f>INDEX(emprunts!I:I,MATCH($A1288,emprunts!$A:$A,0))</f>
        <v>20</v>
      </c>
      <c r="F1288" s="18" t="str">
        <f>INDEX(emprunts!P:P,MATCH($A1288,emprunts!$A:$A,0))</f>
        <v>Fixe</v>
      </c>
      <c r="G1288" s="126" t="str">
        <f>IF(LEFT(A1288,3)="vx_","vx",INDEX(Categorie,MATCH($A1288,emprunts!$A$2:$A$149,0)))</f>
        <v>Restr_aidé</v>
      </c>
      <c r="H1288">
        <v>2017</v>
      </c>
      <c r="I1288">
        <f t="shared" si="202"/>
        <v>1</v>
      </c>
      <c r="N1288"/>
      <c r="O1288" s="58">
        <v>16659997</v>
      </c>
      <c r="P1288" s="4">
        <v>3.5000000000000003E-2</v>
      </c>
      <c r="Q1288" s="58">
        <v>604227.39</v>
      </c>
      <c r="R1288" s="58">
        <v>563999.97</v>
      </c>
      <c r="S1288" s="58"/>
      <c r="T1288" s="58">
        <v>390695.45</v>
      </c>
      <c r="U1288" s="58">
        <f t="shared" si="206"/>
        <v>1168227.3599999999</v>
      </c>
      <c r="V1288" s="14">
        <f t="shared" si="205"/>
        <v>0</v>
      </c>
      <c r="W1288" s="77"/>
      <c r="X1288" s="85">
        <f t="shared" si="203"/>
        <v>0</v>
      </c>
      <c r="Y1288" s="21">
        <f t="shared" si="204"/>
        <v>3.4979618964821907E-2</v>
      </c>
      <c r="AA1288" s="55">
        <f t="shared" si="207"/>
        <v>591000.97000000009</v>
      </c>
      <c r="AB1288" s="55">
        <f t="shared" si="208"/>
        <v>-3.0000001192092896E-2</v>
      </c>
      <c r="AC1288" s="55">
        <f t="shared" si="209"/>
        <v>16895580.554904111</v>
      </c>
    </row>
    <row r="1289" spans="1:29" ht="30">
      <c r="A1289" t="s">
        <v>369</v>
      </c>
      <c r="B1289" s="16" t="str">
        <f>INDEX(emprunts!C:C,MATCH($A1289,emprunts!A:A,0))</f>
        <v>Dexia CL</v>
      </c>
      <c r="C1289" s="18">
        <f>INDEX(emprunts!M:M,MATCH($A1289,emprunts!$A:$A,0))</f>
        <v>42339</v>
      </c>
      <c r="D1289" s="18">
        <f>IF(INDEX(emprunts!O:O,MATCH($A1289,emprunts!$A:$A,0))="",INDEX(emprunts!N:N,MATCH($A1289,emprunts!$A:$A,0)),MIN(INDEX(emprunts!N:N,MATCH($A1289,emprunts!$A:$A,0)),INDEX(emprunts!O:O,MATCH($A1289,emprunts!$A:$A,0))))</f>
        <v>51471</v>
      </c>
      <c r="E1289" s="52">
        <f>INDEX(emprunts!I:I,MATCH($A1289,emprunts!$A:$A,0))</f>
        <v>25</v>
      </c>
      <c r="F1289" s="18" t="str">
        <f>INDEX(emprunts!P:P,MATCH($A1289,emprunts!$A:$A,0))</f>
        <v>Fixe</v>
      </c>
      <c r="G1289" s="126" t="str">
        <f>IF(LEFT(A1289,3)="vx_","vx",INDEX(Categorie,MATCH($A1289,emprunts!$A$2:$A$149,0)))</f>
        <v>Restr_sec</v>
      </c>
      <c r="H1289">
        <v>2017</v>
      </c>
      <c r="I1289">
        <f t="shared" si="202"/>
        <v>1</v>
      </c>
      <c r="N1289"/>
      <c r="O1289" s="58">
        <v>8613427</v>
      </c>
      <c r="P1289" s="4">
        <v>3.27E-2</v>
      </c>
      <c r="Q1289" s="58">
        <v>288562.02</v>
      </c>
      <c r="R1289" s="58">
        <v>198000.73</v>
      </c>
      <c r="S1289" s="58"/>
      <c r="T1289" s="58">
        <v>23184.48</v>
      </c>
      <c r="U1289" s="58">
        <f t="shared" si="206"/>
        <v>486562.75</v>
      </c>
      <c r="V1289" s="14">
        <f t="shared" si="205"/>
        <v>0</v>
      </c>
      <c r="W1289" s="77"/>
      <c r="X1289" s="85">
        <f t="shared" si="203"/>
        <v>0</v>
      </c>
      <c r="Y1289" s="21">
        <f t="shared" si="204"/>
        <v>3.3150389272008141E-2</v>
      </c>
      <c r="AA1289" s="55">
        <f t="shared" si="207"/>
        <v>288029.07</v>
      </c>
      <c r="AB1289" s="55">
        <f t="shared" si="208"/>
        <v>-0.26999999955296516</v>
      </c>
      <c r="AC1289" s="55">
        <f t="shared" si="209"/>
        <v>8688557.7009863015</v>
      </c>
    </row>
    <row r="1290" spans="1:29">
      <c r="A1290" t="s">
        <v>370</v>
      </c>
      <c r="B1290" s="16" t="str">
        <f>INDEX(emprunts!C:C,MATCH($A1290,emprunts!A:A,0))</f>
        <v>CDC</v>
      </c>
      <c r="C1290" s="18">
        <f>INDEX(emprunts!M:M,MATCH($A1290,emprunts!$A:$A,0))</f>
        <v>42370</v>
      </c>
      <c r="D1290" s="18">
        <f>IF(INDEX(emprunts!O:O,MATCH($A1290,emprunts!$A:$A,0))="",INDEX(emprunts!N:N,MATCH($A1290,emprunts!$A:$A,0)),MIN(INDEX(emprunts!N:N,MATCH($A1290,emprunts!$A:$A,0)),INDEX(emprunts!O:O,MATCH($A1290,emprunts!$A:$A,0))))</f>
        <v>47849</v>
      </c>
      <c r="E1290" s="52">
        <f>INDEX(emprunts!I:I,MATCH($A1290,emprunts!$A:$A,0))</f>
        <v>15</v>
      </c>
      <c r="F1290" s="18" t="str">
        <f>INDEX(emprunts!P:P,MATCH($A1290,emprunts!$A:$A,0))</f>
        <v>Livret A</v>
      </c>
      <c r="G1290" s="126" t="str">
        <f>IF(LEFT(A1290,3)="vx_","vx",INDEX(Categorie,MATCH($A1290,emprunts!$A$2:$A$149,0)))</f>
        <v>Livr_A</v>
      </c>
      <c r="H1290">
        <v>2017</v>
      </c>
      <c r="I1290">
        <f t="shared" si="202"/>
        <v>1</v>
      </c>
      <c r="N1290"/>
      <c r="O1290" s="58">
        <v>4232639</v>
      </c>
      <c r="P1290" s="4">
        <v>1.49E-2</v>
      </c>
      <c r="Q1290" s="58">
        <v>66113.64</v>
      </c>
      <c r="R1290" s="58">
        <v>319444.44</v>
      </c>
      <c r="S1290" s="58"/>
      <c r="T1290" s="58">
        <v>15608.51</v>
      </c>
      <c r="U1290" s="58">
        <f t="shared" si="206"/>
        <v>385558.08</v>
      </c>
      <c r="V1290" s="14">
        <f t="shared" si="205"/>
        <v>0</v>
      </c>
      <c r="W1290" s="77"/>
      <c r="X1290" s="85">
        <f t="shared" si="203"/>
        <v>0</v>
      </c>
      <c r="Y1290" s="21">
        <f t="shared" si="204"/>
        <v>1.4824380635840469E-2</v>
      </c>
      <c r="AA1290" s="55">
        <f t="shared" si="207"/>
        <v>64935.64</v>
      </c>
      <c r="AB1290" s="55">
        <f t="shared" si="208"/>
        <v>0.44000000040978193</v>
      </c>
      <c r="AC1290" s="55">
        <f t="shared" si="209"/>
        <v>4380327.3536438355</v>
      </c>
    </row>
    <row r="1291" spans="1:29">
      <c r="A1291" t="s">
        <v>371</v>
      </c>
      <c r="B1291" s="16" t="str">
        <f>INDEX(emprunts!C:C,MATCH($A1291,emprunts!A:A,0))</f>
        <v>Arkea</v>
      </c>
      <c r="C1291" s="18">
        <f>INDEX(emprunts!M:M,MATCH($A1291,emprunts!$A:$A,0))</f>
        <v>42408</v>
      </c>
      <c r="D1291" s="18">
        <f>IF(INDEX(emprunts!O:O,MATCH($A1291,emprunts!$A:$A,0))="",INDEX(emprunts!N:N,MATCH($A1291,emprunts!$A:$A,0)),MIN(INDEX(emprunts!N:N,MATCH($A1291,emprunts!$A:$A,0)),INDEX(emprunts!O:O,MATCH($A1291,emprunts!$A:$A,0))))</f>
        <v>49704</v>
      </c>
      <c r="E1291" s="52">
        <f>INDEX(emprunts!I:I,MATCH($A1291,emprunts!$A:$A,0))</f>
        <v>20</v>
      </c>
      <c r="F1291" s="18" t="str">
        <f>INDEX(emprunts!P:P,MATCH($A1291,emprunts!$A:$A,0))</f>
        <v>Fixe</v>
      </c>
      <c r="G1291" s="126" t="str">
        <f>IF(LEFT(A1291,3)="vx_","vx",INDEX(Categorie,MATCH($A1291,emprunts!$A$2:$A$149,0)))</f>
        <v>Non_st</v>
      </c>
      <c r="H1291">
        <v>2017</v>
      </c>
      <c r="I1291">
        <f t="shared" si="202"/>
        <v>1</v>
      </c>
      <c r="N1291"/>
      <c r="O1291" s="58">
        <v>9301876</v>
      </c>
      <c r="P1291" s="4">
        <v>2.3699999999999999E-2</v>
      </c>
      <c r="Q1291" s="58">
        <v>227389.21</v>
      </c>
      <c r="R1291" s="58">
        <v>402474.39</v>
      </c>
      <c r="S1291" s="58"/>
      <c r="T1291" s="58">
        <v>36897.440000000002</v>
      </c>
      <c r="U1291" s="58">
        <f t="shared" si="206"/>
        <v>629863.6</v>
      </c>
      <c r="V1291" s="14">
        <f t="shared" si="205"/>
        <v>0</v>
      </c>
      <c r="W1291" s="77"/>
      <c r="X1291" s="85">
        <f t="shared" si="203"/>
        <v>0</v>
      </c>
      <c r="Y1291" s="21">
        <f t="shared" si="204"/>
        <v>2.3825143934613761E-2</v>
      </c>
      <c r="AA1291" s="55">
        <f t="shared" si="207"/>
        <v>225792.73000000004</v>
      </c>
      <c r="AB1291" s="55">
        <f t="shared" si="208"/>
        <v>0.39000000059604645</v>
      </c>
      <c r="AC1291" s="55">
        <f t="shared" si="209"/>
        <v>9477077.268438356</v>
      </c>
    </row>
    <row r="1292" spans="1:29" ht="30">
      <c r="A1292" s="1" t="s">
        <v>488</v>
      </c>
      <c r="B1292" s="16" t="str">
        <f>INDEX(emprunts!C:C,MATCH($A1292,emprunts!A:A,0))</f>
        <v>Dexia CL</v>
      </c>
      <c r="C1292" s="18">
        <f>INDEX(emprunts!M:M,MATCH($A1292,emprunts!$A:$A,0))</f>
        <v>42644</v>
      </c>
      <c r="D1292" s="18">
        <f>IF(INDEX(emprunts!O:O,MATCH($A1292,emprunts!$A:$A,0))="",INDEX(emprunts!N:N,MATCH($A1292,emprunts!$A:$A,0)),MIN(INDEX(emprunts!N:N,MATCH($A1292,emprunts!$A:$A,0)),INDEX(emprunts!O:O,MATCH($A1292,emprunts!$A:$A,0))))</f>
        <v>49857</v>
      </c>
      <c r="E1292" s="52">
        <f>INDEX(emprunts!I:I,MATCH($A1292,emprunts!$A:$A,0))</f>
        <v>19.75</v>
      </c>
      <c r="F1292" s="18" t="str">
        <f>INDEX(emprunts!P:P,MATCH($A1292,emprunts!$A:$A,0))</f>
        <v>Fixe</v>
      </c>
      <c r="G1292" s="126" t="str">
        <f>IF(LEFT(A1292,3)="vx_","vx",INDEX(Categorie,MATCH($A1292,emprunts!$A$2:$A$149,0)))</f>
        <v>Restr_aidé</v>
      </c>
      <c r="H1292">
        <v>2017</v>
      </c>
      <c r="I1292">
        <f t="shared" si="202"/>
        <v>1</v>
      </c>
      <c r="N1292"/>
      <c r="O1292" s="58">
        <v>10145369</v>
      </c>
      <c r="P1292" s="4">
        <v>4.1000000000000002E-2</v>
      </c>
      <c r="Q1292" s="58">
        <v>321306.8</v>
      </c>
      <c r="R1292" s="58">
        <v>316390.68</v>
      </c>
      <c r="S1292" s="58"/>
      <c r="T1292" s="58">
        <v>208867.79</v>
      </c>
      <c r="U1292" s="58">
        <f t="shared" si="206"/>
        <v>637697.48</v>
      </c>
      <c r="V1292" s="14">
        <f t="shared" si="205"/>
        <v>0</v>
      </c>
      <c r="W1292" s="77"/>
      <c r="X1292" s="85">
        <f t="shared" si="203"/>
        <v>0</v>
      </c>
      <c r="Y1292" s="21">
        <f t="shared" si="204"/>
        <v>4.1173577666367686E-2</v>
      </c>
      <c r="AA1292" s="55">
        <f t="shared" si="207"/>
        <v>423072.31999999995</v>
      </c>
      <c r="AB1292" s="55">
        <f t="shared" si="208"/>
        <v>-0.32000000029802322</v>
      </c>
      <c r="AC1292" s="55">
        <f t="shared" si="209"/>
        <v>10275335.396602741</v>
      </c>
    </row>
    <row r="1293" spans="1:29">
      <c r="A1293" s="1" t="s">
        <v>524</v>
      </c>
      <c r="B1293" s="16" t="str">
        <f>INDEX(emprunts!C:C,MATCH($A1293,emprunts!A:A,0))</f>
        <v>Dexia CL</v>
      </c>
      <c r="C1293" s="18">
        <f>INDEX(emprunts!M:M,MATCH($A1293,emprunts!$A:$A,0))</f>
        <v>42644</v>
      </c>
      <c r="D1293" s="18">
        <f>IF(INDEX(emprunts!O:O,MATCH($A1293,emprunts!$A:$A,0))="",INDEX(emprunts!N:N,MATCH($A1293,emprunts!$A:$A,0)),MIN(INDEX(emprunts!N:N,MATCH($A1293,emprunts!$A:$A,0)),INDEX(emprunts!O:O,MATCH($A1293,emprunts!$A:$A,0))))</f>
        <v>49857</v>
      </c>
      <c r="E1293" s="52">
        <f>INDEX(emprunts!I:I,MATCH($A1293,emprunts!$A:$A,0))</f>
        <v>19.75</v>
      </c>
      <c r="F1293" s="18" t="str">
        <f>INDEX(emprunts!P:P,MATCH($A1293,emprunts!$A:$A,0))</f>
        <v>Fixe</v>
      </c>
      <c r="G1293" s="126" t="str">
        <f>IF(LEFT(A1293,3)="vx_","vx",INDEX(Categorie,MATCH($A1293,emprunts!$A$2:$A$149,0)))</f>
        <v>Non_st</v>
      </c>
      <c r="H1293">
        <v>2017</v>
      </c>
      <c r="I1293">
        <f t="shared" si="202"/>
        <v>1</v>
      </c>
      <c r="N1293"/>
      <c r="O1293" s="58">
        <v>2909272</v>
      </c>
      <c r="P1293" s="4">
        <v>2.7799999999999998E-2</v>
      </c>
      <c r="Q1293" s="58">
        <v>62562.5</v>
      </c>
      <c r="R1293" s="58">
        <v>90727.76</v>
      </c>
      <c r="S1293" s="58"/>
      <c r="T1293" s="58">
        <v>40660.199999999997</v>
      </c>
      <c r="U1293" s="58">
        <f t="shared" si="206"/>
        <v>153290.26</v>
      </c>
      <c r="V1293" s="14">
        <f t="shared" si="205"/>
        <v>0</v>
      </c>
      <c r="W1293" s="77"/>
      <c r="X1293" s="85">
        <f t="shared" si="203"/>
        <v>0</v>
      </c>
      <c r="Y1293" s="21">
        <f t="shared" si="204"/>
        <v>2.8045946199154473E-2</v>
      </c>
      <c r="AA1293" s="55">
        <f t="shared" si="207"/>
        <v>82638.53</v>
      </c>
      <c r="AB1293" s="55">
        <f t="shared" si="208"/>
        <v>-0.24000000022351742</v>
      </c>
      <c r="AC1293" s="55">
        <f t="shared" si="209"/>
        <v>2946540.9871780821</v>
      </c>
    </row>
    <row r="1294" spans="1:29" ht="30">
      <c r="A1294" s="1" t="s">
        <v>494</v>
      </c>
      <c r="B1294" s="16" t="str">
        <f>INDEX(emprunts!C:C,MATCH($A1294,emprunts!A:A,0))</f>
        <v>Dexia CL</v>
      </c>
      <c r="C1294" s="18">
        <f>INDEX(emprunts!M:M,MATCH($A1294,emprunts!$A:$A,0))</f>
        <v>42675</v>
      </c>
      <c r="D1294" s="18">
        <f>IF(INDEX(emprunts!O:O,MATCH($A1294,emprunts!$A:$A,0))="",INDEX(emprunts!N:N,MATCH($A1294,emprunts!$A:$A,0)),MIN(INDEX(emprunts!N:N,MATCH($A1294,emprunts!$A:$A,0)),INDEX(emprunts!O:O,MATCH($A1294,emprunts!$A:$A,0))))</f>
        <v>49644</v>
      </c>
      <c r="E1294" s="52">
        <f>INDEX(emprunts!I:I,MATCH($A1294,emprunts!$A:$A,0))</f>
        <v>19.079999999999998</v>
      </c>
      <c r="F1294" s="18" t="str">
        <f>INDEX(emprunts!P:P,MATCH($A1294,emprunts!$A:$A,0))</f>
        <v>Fixe</v>
      </c>
      <c r="G1294" s="126" t="str">
        <f>IF(LEFT(A1294,3)="vx_","vx",INDEX(Categorie,MATCH($A1294,emprunts!$A$2:$A$149,0)))</f>
        <v>Restr_aidé</v>
      </c>
      <c r="H1294">
        <v>2017</v>
      </c>
      <c r="I1294">
        <f t="shared" si="202"/>
        <v>1</v>
      </c>
      <c r="N1294"/>
      <c r="O1294" s="58">
        <v>8685532</v>
      </c>
      <c r="P1294" s="4">
        <v>3.0099999999999998E-2</v>
      </c>
      <c r="Q1294" s="58">
        <v>271307.68</v>
      </c>
      <c r="R1294" s="58">
        <v>294036.06</v>
      </c>
      <c r="S1294" s="58"/>
      <c r="T1294" s="58">
        <v>21569.07</v>
      </c>
      <c r="U1294" s="58">
        <f t="shared" si="206"/>
        <v>565343.74</v>
      </c>
      <c r="V1294" s="14">
        <f t="shared" si="205"/>
        <v>0</v>
      </c>
      <c r="W1294" s="77"/>
      <c r="X1294" s="85">
        <f t="shared" si="203"/>
        <v>0</v>
      </c>
      <c r="Y1294" s="21">
        <f t="shared" si="204"/>
        <v>3.0718290168886508E-2</v>
      </c>
      <c r="AA1294" s="55">
        <f t="shared" si="207"/>
        <v>270577.49</v>
      </c>
      <c r="AB1294" s="55">
        <f t="shared" si="208"/>
        <v>6.0000000521540642E-2</v>
      </c>
      <c r="AC1294" s="55">
        <f t="shared" si="209"/>
        <v>8808351.2627945207</v>
      </c>
    </row>
    <row r="1295" spans="1:29">
      <c r="A1295" s="1" t="s">
        <v>523</v>
      </c>
      <c r="B1295" s="16" t="str">
        <f>INDEX(emprunts!C:C,MATCH($A1295,emprunts!A:A,0))</f>
        <v>Dexia CL</v>
      </c>
      <c r="C1295" s="18">
        <f>INDEX(emprunts!M:M,MATCH($A1295,emprunts!$A:$A,0))</f>
        <v>42675</v>
      </c>
      <c r="D1295" s="18">
        <f>IF(INDEX(emprunts!O:O,MATCH($A1295,emprunts!$A:$A,0))="",INDEX(emprunts!N:N,MATCH($A1295,emprunts!$A:$A,0)),MIN(INDEX(emprunts!N:N,MATCH($A1295,emprunts!$A:$A,0)),INDEX(emprunts!O:O,MATCH($A1295,emprunts!$A:$A,0))))</f>
        <v>49614</v>
      </c>
      <c r="E1295" s="52">
        <f>INDEX(emprunts!I:I,MATCH($A1295,emprunts!$A:$A,0))</f>
        <v>19</v>
      </c>
      <c r="F1295" s="18" t="str">
        <f>INDEX(emprunts!P:P,MATCH($A1295,emprunts!$A:$A,0))</f>
        <v>Fixe</v>
      </c>
      <c r="G1295" s="126" t="str">
        <f>IF(LEFT(A1295,3)="vx_","vx",INDEX(Categorie,MATCH($A1295,emprunts!$A$2:$A$149,0)))</f>
        <v>Non_st</v>
      </c>
      <c r="H1295">
        <v>2017</v>
      </c>
      <c r="I1295">
        <f t="shared" si="202"/>
        <v>1</v>
      </c>
      <c r="N1295"/>
      <c r="O1295" s="58">
        <v>16443335</v>
      </c>
      <c r="P1295" s="4">
        <v>2.7799999999999998E-2</v>
      </c>
      <c r="Q1295" s="58">
        <v>473993.06</v>
      </c>
      <c r="R1295" s="58">
        <v>556665.18000000005</v>
      </c>
      <c r="S1295" s="58"/>
      <c r="T1295" s="58">
        <v>75365.279999999999</v>
      </c>
      <c r="U1295" s="58">
        <f t="shared" si="206"/>
        <v>1030658.24</v>
      </c>
      <c r="V1295" s="14">
        <f t="shared" si="205"/>
        <v>0</v>
      </c>
      <c r="W1295" s="77"/>
      <c r="X1295" s="85">
        <f t="shared" si="203"/>
        <v>0</v>
      </c>
      <c r="Y1295" s="21">
        <f t="shared" si="204"/>
        <v>2.8270914780400613E-2</v>
      </c>
      <c r="AA1295" s="55">
        <f t="shared" si="207"/>
        <v>471441.67</v>
      </c>
      <c r="AB1295" s="55">
        <f t="shared" si="208"/>
        <v>0.17999999970197678</v>
      </c>
      <c r="AC1295" s="55">
        <f t="shared" si="209"/>
        <v>16675854.802082192</v>
      </c>
    </row>
    <row r="1296" spans="1:29" ht="30">
      <c r="A1296" s="1" t="s">
        <v>491</v>
      </c>
      <c r="B1296" s="16" t="str">
        <f>INDEX(emprunts!C:C,MATCH($A1296,emprunts!A:A,0))</f>
        <v>Dexia CL</v>
      </c>
      <c r="C1296" s="18">
        <f>INDEX(emprunts!M:M,MATCH($A1296,emprunts!$A:$A,0))</f>
        <v>43040</v>
      </c>
      <c r="D1296" s="18">
        <f>IF(INDEX(emprunts!O:O,MATCH($A1296,emprunts!$A:$A,0))="",INDEX(emprunts!N:N,MATCH($A1296,emprunts!$A:$A,0)),MIN(INDEX(emprunts!N:N,MATCH($A1296,emprunts!$A:$A,0)),INDEX(emprunts!O:O,MATCH($A1296,emprunts!$A:$A,0))))</f>
        <v>50345</v>
      </c>
      <c r="E1296" s="52">
        <f>INDEX(emprunts!I:I,MATCH($A1296,emprunts!$A:$A,0))</f>
        <v>20</v>
      </c>
      <c r="F1296" s="18" t="str">
        <f>INDEX(emprunts!P:P,MATCH($A1296,emprunts!$A:$A,0))</f>
        <v>Fixe</v>
      </c>
      <c r="G1296" s="126" t="str">
        <f>IF(LEFT(A1296,3)="vx_","vx",INDEX(Categorie,MATCH($A1296,emprunts!$A$2:$A$149,0)))</f>
        <v>Restr_aidé</v>
      </c>
      <c r="H1296">
        <v>2017</v>
      </c>
      <c r="I1296">
        <f t="shared" si="202"/>
        <v>1</v>
      </c>
      <c r="N1296"/>
      <c r="O1296" s="58">
        <v>10632524</v>
      </c>
      <c r="P1296" s="4">
        <v>3.5900000000000001E-2</v>
      </c>
      <c r="Q1296" s="58">
        <v>0</v>
      </c>
      <c r="R1296" s="58">
        <v>0</v>
      </c>
      <c r="S1296" s="58"/>
      <c r="T1296" s="58">
        <v>62909.1</v>
      </c>
      <c r="U1296" s="58">
        <f t="shared" si="206"/>
        <v>0</v>
      </c>
      <c r="V1296" s="14">
        <f t="shared" si="205"/>
        <v>0</v>
      </c>
      <c r="W1296" s="77"/>
      <c r="X1296" s="85">
        <f t="shared" si="203"/>
        <v>0</v>
      </c>
      <c r="Y1296" s="21">
        <f t="shared" si="204"/>
        <v>3.5993055364840938E-2</v>
      </c>
      <c r="AA1296" s="55">
        <f t="shared" si="207"/>
        <v>62909.1</v>
      </c>
      <c r="AB1296" s="55" t="str">
        <f t="shared" si="208"/>
        <v/>
      </c>
      <c r="AC1296" s="55">
        <f t="shared" si="209"/>
        <v>1747812.1643835616</v>
      </c>
    </row>
    <row r="1297" spans="1:29">
      <c r="A1297" s="1" t="s">
        <v>492</v>
      </c>
      <c r="B1297" s="16" t="str">
        <f>INDEX(emprunts!C:C,MATCH($A1297,emprunts!A:A,0))</f>
        <v>Dexia CL</v>
      </c>
      <c r="C1297" s="18">
        <f>INDEX(emprunts!M:M,MATCH($A1297,emprunts!$A:$A,0))</f>
        <v>43040</v>
      </c>
      <c r="D1297" s="18">
        <f>IF(INDEX(emprunts!O:O,MATCH($A1297,emprunts!$A:$A,0))="",INDEX(emprunts!N:N,MATCH($A1297,emprunts!$A:$A,0)),MIN(INDEX(emprunts!N:N,MATCH($A1297,emprunts!$A:$A,0)),INDEX(emprunts!O:O,MATCH($A1297,emprunts!$A:$A,0))))</f>
        <v>50345</v>
      </c>
      <c r="E1297" s="52">
        <f>INDEX(emprunts!I:I,MATCH($A1297,emprunts!$A:$A,0))</f>
        <v>20</v>
      </c>
      <c r="F1297" s="18" t="str">
        <f>INDEX(emprunts!P:P,MATCH($A1297,emprunts!$A:$A,0))</f>
        <v>Fixe</v>
      </c>
      <c r="G1297" s="126" t="str">
        <f>IF(LEFT(A1297,3)="vx_","vx",INDEX(Categorie,MATCH($A1297,emprunts!$A$2:$A$149,0)))</f>
        <v>Non_st</v>
      </c>
      <c r="H1297">
        <v>2017</v>
      </c>
      <c r="I1297">
        <f t="shared" si="202"/>
        <v>1</v>
      </c>
      <c r="N1297"/>
      <c r="O1297" s="58">
        <v>17000000</v>
      </c>
      <c r="P1297" s="4">
        <v>2.7799999999999998E-2</v>
      </c>
      <c r="Q1297" s="58">
        <v>0</v>
      </c>
      <c r="R1297" s="58">
        <v>0</v>
      </c>
      <c r="S1297" s="58"/>
      <c r="T1297" s="58">
        <v>77916.67</v>
      </c>
      <c r="U1297" s="58">
        <f t="shared" si="206"/>
        <v>0</v>
      </c>
      <c r="V1297" s="14">
        <f t="shared" si="205"/>
        <v>0</v>
      </c>
      <c r="W1297" s="77"/>
      <c r="X1297" s="85">
        <f t="shared" si="203"/>
        <v>0</v>
      </c>
      <c r="Y1297" s="21">
        <f t="shared" si="204"/>
        <v>2.7881945637254903E-2</v>
      </c>
      <c r="AA1297" s="55">
        <f t="shared" si="207"/>
        <v>77916.67</v>
      </c>
      <c r="AB1297" s="55" t="str">
        <f t="shared" si="208"/>
        <v/>
      </c>
      <c r="AC1297" s="55">
        <f t="shared" si="209"/>
        <v>2794520.5479452051</v>
      </c>
    </row>
    <row r="1298" spans="1:29" ht="30">
      <c r="A1298" s="1" t="s">
        <v>500</v>
      </c>
      <c r="B1298" s="16" t="str">
        <f>INDEX(emprunts!C:C,MATCH($A1298,emprunts!A:A,0))</f>
        <v>Dexia CL</v>
      </c>
      <c r="C1298" s="18">
        <f>INDEX(emprunts!M:M,MATCH($A1298,emprunts!$A:$A,0))</f>
        <v>43040</v>
      </c>
      <c r="D1298" s="18">
        <f>IF(INDEX(emprunts!O:O,MATCH($A1298,emprunts!$A:$A,0))="",INDEX(emprunts!N:N,MATCH($A1298,emprunts!$A:$A,0)),MIN(INDEX(emprunts!N:N,MATCH($A1298,emprunts!$A:$A,0)),INDEX(emprunts!O:O,MATCH($A1298,emprunts!$A:$A,0))))</f>
        <v>49249</v>
      </c>
      <c r="E1298" s="52">
        <f>INDEX(emprunts!I:I,MATCH($A1298,emprunts!$A:$A,0))</f>
        <v>17</v>
      </c>
      <c r="F1298" s="18" t="str">
        <f>INDEX(emprunts!P:P,MATCH($A1298,emprunts!$A:$A,0))</f>
        <v>Fixe</v>
      </c>
      <c r="G1298" s="126" t="str">
        <f>IF(LEFT(A1298,3)="vx_","vx",INDEX(Categorie,MATCH($A1298,emprunts!$A$2:$A$149,0)))</f>
        <v>Restr_aidé</v>
      </c>
      <c r="H1298">
        <v>2017</v>
      </c>
      <c r="I1298">
        <f t="shared" si="202"/>
        <v>1</v>
      </c>
      <c r="N1298"/>
      <c r="O1298" s="58">
        <v>9247758</v>
      </c>
      <c r="P1298" s="4">
        <v>3.7199999999999997E-2</v>
      </c>
      <c r="Q1298" s="58">
        <v>0</v>
      </c>
      <c r="R1298" s="58">
        <v>0</v>
      </c>
      <c r="S1298" s="58"/>
      <c r="T1298" s="58">
        <v>56719.58</v>
      </c>
      <c r="U1298" s="58">
        <f t="shared" si="206"/>
        <v>0</v>
      </c>
      <c r="V1298" s="14">
        <f t="shared" si="205"/>
        <v>0</v>
      </c>
      <c r="W1298" s="77"/>
      <c r="X1298" s="85">
        <f t="shared" si="203"/>
        <v>0</v>
      </c>
      <c r="Y1298" s="21">
        <f t="shared" si="204"/>
        <v>3.7311109532350083E-2</v>
      </c>
      <c r="AA1298" s="55">
        <f t="shared" si="207"/>
        <v>56719.58</v>
      </c>
      <c r="AB1298" s="55" t="str">
        <f t="shared" si="208"/>
        <v/>
      </c>
      <c r="AC1298" s="55">
        <f t="shared" si="209"/>
        <v>1520179.3972602738</v>
      </c>
    </row>
    <row r="1299" spans="1:29">
      <c r="A1299" s="1" t="s">
        <v>519</v>
      </c>
      <c r="B1299" s="16" t="str">
        <f>INDEX(emprunts!C:C,MATCH($A1299,emprunts!A:A,0))</f>
        <v>Dexia CL</v>
      </c>
      <c r="C1299" s="18">
        <f>INDEX(emprunts!M:M,MATCH($A1299,emprunts!$A:$A,0))</f>
        <v>43040</v>
      </c>
      <c r="D1299" s="18">
        <f>IF(INDEX(emprunts!O:O,MATCH($A1299,emprunts!$A:$A,0))="",INDEX(emprunts!N:N,MATCH($A1299,emprunts!$A:$A,0)),MIN(INDEX(emprunts!N:N,MATCH($A1299,emprunts!$A:$A,0)),INDEX(emprunts!O:O,MATCH($A1299,emprunts!$A:$A,0))))</f>
        <v>49249</v>
      </c>
      <c r="E1299" s="52">
        <f>INDEX(emprunts!I:I,MATCH($A1299,emprunts!$A:$A,0))</f>
        <v>17</v>
      </c>
      <c r="F1299" s="18" t="str">
        <f>INDEX(emprunts!P:P,MATCH($A1299,emprunts!$A:$A,0))</f>
        <v>Fixe</v>
      </c>
      <c r="G1299" s="126" t="str">
        <f>IF(LEFT(A1299,3)="vx_","vx",INDEX(Categorie,MATCH($A1299,emprunts!$A$2:$A$149,0)))</f>
        <v>Non_st</v>
      </c>
      <c r="H1299">
        <v>2017</v>
      </c>
      <c r="I1299">
        <f t="shared" si="202"/>
        <v>1</v>
      </c>
      <c r="N1299"/>
      <c r="O1299" s="58">
        <v>3000000</v>
      </c>
      <c r="P1299" s="4">
        <v>2.7799999999999998E-2</v>
      </c>
      <c r="Q1299" s="58">
        <v>0</v>
      </c>
      <c r="R1299" s="58">
        <v>0</v>
      </c>
      <c r="S1299" s="58"/>
      <c r="T1299" s="58">
        <v>13750</v>
      </c>
      <c r="U1299" s="58">
        <f t="shared" si="206"/>
        <v>0</v>
      </c>
      <c r="V1299" s="14">
        <f t="shared" si="205"/>
        <v>0</v>
      </c>
      <c r="W1299" s="77"/>
      <c r="X1299" s="85">
        <f t="shared" si="203"/>
        <v>0</v>
      </c>
      <c r="Y1299" s="21">
        <f t="shared" si="204"/>
        <v>2.7881944444444445E-2</v>
      </c>
      <c r="AA1299" s="55">
        <f t="shared" si="207"/>
        <v>13750</v>
      </c>
      <c r="AB1299" s="55" t="str">
        <f t="shared" si="208"/>
        <v/>
      </c>
      <c r="AC1299" s="55">
        <f t="shared" si="209"/>
        <v>493150.68493150681</v>
      </c>
    </row>
    <row r="1300" spans="1:29" ht="30">
      <c r="A1300" s="1" t="s">
        <v>499</v>
      </c>
      <c r="B1300" s="16" t="str">
        <f>INDEX(emprunts!C:C,MATCH($A1300,emprunts!A:A,0))</f>
        <v>Dexia CL</v>
      </c>
      <c r="C1300" s="18">
        <f>INDEX(emprunts!M:M,MATCH($A1300,emprunts!$A:$A,0))</f>
        <v>43101</v>
      </c>
      <c r="D1300" s="18">
        <f>IF(INDEX(emprunts!O:O,MATCH($A1300,emprunts!$A:$A,0))="",INDEX(emprunts!N:N,MATCH($A1300,emprunts!$A:$A,0)),MIN(INDEX(emprunts!N:N,MATCH($A1300,emprunts!$A:$A,0)),INDEX(emprunts!O:O,MATCH($A1300,emprunts!$A:$A,0))))</f>
        <v>48580</v>
      </c>
      <c r="E1300" s="52">
        <f>INDEX(emprunts!I:I,MATCH($A1300,emprunts!$A:$A,0))</f>
        <v>15</v>
      </c>
      <c r="F1300" s="18" t="str">
        <f>INDEX(emprunts!P:P,MATCH($A1300,emprunts!$A:$A,0))</f>
        <v>Fixe</v>
      </c>
      <c r="G1300" s="126" t="str">
        <f>IF(LEFT(A1300,3)="vx_","vx",INDEX(Categorie,MATCH($A1300,emprunts!$A$2:$A$149,0)))</f>
        <v>Restr_aidé</v>
      </c>
      <c r="H1300">
        <v>2017</v>
      </c>
      <c r="I1300">
        <f t="shared" si="202"/>
        <v>0</v>
      </c>
      <c r="N1300"/>
      <c r="O1300" s="58"/>
      <c r="Q1300" s="58"/>
      <c r="R1300" s="58"/>
      <c r="S1300" s="58"/>
      <c r="T1300" s="58"/>
      <c r="U1300" s="58"/>
      <c r="V1300" s="14" t="str">
        <f t="shared" si="205"/>
        <v/>
      </c>
      <c r="W1300" s="77"/>
      <c r="X1300" s="85">
        <f t="shared" si="203"/>
        <v>0</v>
      </c>
      <c r="Y1300" s="21" t="str">
        <f t="shared" si="204"/>
        <v/>
      </c>
      <c r="AA1300" s="55">
        <f t="shared" si="207"/>
        <v>0</v>
      </c>
      <c r="AB1300" s="55">
        <f t="shared" si="208"/>
        <v>0</v>
      </c>
      <c r="AC1300" s="55">
        <f t="shared" si="209"/>
        <v>0</v>
      </c>
    </row>
    <row r="1301" spans="1:29">
      <c r="A1301" s="1" t="s">
        <v>521</v>
      </c>
      <c r="B1301" s="16" t="str">
        <f>INDEX(emprunts!C:C,MATCH($A1301,emprunts!A:A,0))</f>
        <v>Dexia CL</v>
      </c>
      <c r="C1301" s="18">
        <f>INDEX(emprunts!M:M,MATCH($A1301,emprunts!$A:$A,0))</f>
        <v>43101</v>
      </c>
      <c r="D1301" s="18">
        <f>IF(INDEX(emprunts!O:O,MATCH($A1301,emprunts!$A:$A,0))="",INDEX(emprunts!N:N,MATCH($A1301,emprunts!$A:$A,0)),MIN(INDEX(emprunts!N:N,MATCH($A1301,emprunts!$A:$A,0)),INDEX(emprunts!O:O,MATCH($A1301,emprunts!$A:$A,0))))</f>
        <v>48580</v>
      </c>
      <c r="E1301" s="52">
        <f>INDEX(emprunts!I:I,MATCH($A1301,emprunts!$A:$A,0))</f>
        <v>15</v>
      </c>
      <c r="F1301" s="18" t="str">
        <f>INDEX(emprunts!P:P,MATCH($A1301,emprunts!$A:$A,0))</f>
        <v>Fixe</v>
      </c>
      <c r="G1301" s="126" t="str">
        <f>IF(LEFT(A1301,3)="vx_","vx",INDEX(Categorie,MATCH($A1301,emprunts!$A$2:$A$149,0)))</f>
        <v>Non_st</v>
      </c>
      <c r="H1301">
        <v>2017</v>
      </c>
      <c r="I1301">
        <f t="shared" si="202"/>
        <v>0</v>
      </c>
      <c r="N1301"/>
      <c r="O1301" s="58"/>
      <c r="Q1301" s="58"/>
      <c r="R1301" s="58"/>
      <c r="S1301" s="58"/>
      <c r="T1301" s="58"/>
      <c r="U1301" s="58"/>
      <c r="V1301" s="14" t="str">
        <f t="shared" si="205"/>
        <v/>
      </c>
      <c r="W1301" s="77"/>
      <c r="X1301" s="85">
        <f t="shared" si="203"/>
        <v>0</v>
      </c>
      <c r="Y1301" s="21" t="str">
        <f t="shared" si="204"/>
        <v/>
      </c>
      <c r="AA1301" s="55">
        <f t="shared" si="207"/>
        <v>0</v>
      </c>
      <c r="AB1301" s="55">
        <f t="shared" si="208"/>
        <v>0</v>
      </c>
      <c r="AC1301" s="55">
        <f t="shared" si="209"/>
        <v>0</v>
      </c>
    </row>
    <row r="1302" spans="1:29" ht="30">
      <c r="A1302" s="1" t="s">
        <v>505</v>
      </c>
      <c r="B1302" s="16" t="str">
        <f>INDEX(emprunts!C:C,MATCH($A1302,emprunts!A:A,0))</f>
        <v>Caisse d'Épargne</v>
      </c>
      <c r="C1302" s="18">
        <f>INDEX(emprunts!M:M,MATCH($A1302,emprunts!$A:$A,0))</f>
        <v>43156</v>
      </c>
      <c r="D1302" s="18">
        <f>IF(INDEX(emprunts!O:O,MATCH($A1302,emprunts!$A:$A,0))="",INDEX(emprunts!N:N,MATCH($A1302,emprunts!$A:$A,0)),MIN(INDEX(emprunts!N:N,MATCH($A1302,emprunts!$A:$A,0)),INDEX(emprunts!O:O,MATCH($A1302,emprunts!$A:$A,0))))</f>
        <v>46078</v>
      </c>
      <c r="E1302" s="52">
        <f>INDEX(emprunts!I:I,MATCH($A1302,emprunts!$A:$A,0))</f>
        <v>8</v>
      </c>
      <c r="F1302" s="18" t="str">
        <f>INDEX(emprunts!P:P,MATCH($A1302,emprunts!$A:$A,0))</f>
        <v>Fixe</v>
      </c>
      <c r="G1302" s="126" t="str">
        <f>IF(LEFT(A1302,3)="vx_","vx",INDEX(Categorie,MATCH($A1302,emprunts!$A$2:$A$149,0)))</f>
        <v>Restr_sec</v>
      </c>
      <c r="H1302">
        <v>2017</v>
      </c>
      <c r="I1302">
        <f t="shared" si="202"/>
        <v>0</v>
      </c>
      <c r="N1302"/>
      <c r="O1302" s="58"/>
      <c r="Q1302" s="58"/>
      <c r="R1302" s="58"/>
      <c r="S1302" s="58"/>
      <c r="T1302" s="58"/>
      <c r="U1302" s="58"/>
      <c r="V1302" s="14" t="str">
        <f t="shared" si="205"/>
        <v/>
      </c>
      <c r="W1302" s="77"/>
      <c r="X1302" s="85">
        <f t="shared" si="203"/>
        <v>0</v>
      </c>
      <c r="Y1302" s="21" t="str">
        <f t="shared" si="204"/>
        <v/>
      </c>
      <c r="AA1302" s="55">
        <f t="shared" si="207"/>
        <v>0</v>
      </c>
      <c r="AB1302" s="55">
        <f t="shared" si="208"/>
        <v>0</v>
      </c>
      <c r="AC1302" s="55">
        <f t="shared" si="209"/>
        <v>0</v>
      </c>
    </row>
    <row r="1303" spans="1:29">
      <c r="A1303" t="s">
        <v>22</v>
      </c>
      <c r="B1303" s="16" t="str">
        <f>INDEX(emprunts!C:C,MATCH($A1303,emprunts!A:A,0))</f>
        <v>Dexia CL</v>
      </c>
      <c r="C1303" s="18">
        <f>INDEX(emprunts!M:M,MATCH($A1303,emprunts!$A:$A,0))</f>
        <v>37221</v>
      </c>
      <c r="D1303" s="18">
        <f>IF(INDEX(emprunts!O:O,MATCH($A1303,emprunts!$A:$A,0))="",INDEX(emprunts!N:N,MATCH($A1303,emprunts!$A:$A,0)),MIN(INDEX(emprunts!N:N,MATCH($A1303,emprunts!$A:$A,0)),INDEX(emprunts!O:O,MATCH($A1303,emprunts!$A:$A,0))))</f>
        <v>38777</v>
      </c>
      <c r="E1303" s="52">
        <f>INDEX(emprunts!I:I,MATCH($A1303,emprunts!$A:$A,0))</f>
        <v>20</v>
      </c>
      <c r="F1303" s="18" t="str">
        <f>INDEX(emprunts!P:P,MATCH($A1303,emprunts!$A:$A,0))</f>
        <v>Annulable</v>
      </c>
      <c r="G1303" s="126" t="str">
        <f>IF(LEFT(A1303,3)="vx_","vx",INDEX(Categorie,MATCH($A1303,emprunts!$A$2:$A$149,0)))</f>
        <v>Struct</v>
      </c>
      <c r="H1303">
        <v>2018</v>
      </c>
      <c r="I1303">
        <f t="shared" si="202"/>
        <v>1</v>
      </c>
      <c r="N1303"/>
      <c r="O1303" s="58"/>
      <c r="Q1303" s="58"/>
      <c r="R1303" s="58"/>
      <c r="S1303" s="58"/>
      <c r="T1303" s="58"/>
      <c r="U1303" s="58"/>
      <c r="V1303" s="14" t="str">
        <f t="shared" si="205"/>
        <v/>
      </c>
      <c r="W1303" s="77"/>
      <c r="X1303" s="85">
        <f t="shared" si="203"/>
        <v>0</v>
      </c>
      <c r="Y1303" s="21" t="str">
        <f t="shared" si="204"/>
        <v/>
      </c>
      <c r="AA1303" s="55">
        <f t="shared" si="207"/>
        <v>0</v>
      </c>
      <c r="AB1303" s="55">
        <f t="shared" si="208"/>
        <v>0</v>
      </c>
      <c r="AC1303" s="55">
        <f t="shared" si="209"/>
        <v>0</v>
      </c>
    </row>
    <row r="1304" spans="1:29">
      <c r="A1304" t="s">
        <v>26</v>
      </c>
      <c r="B1304" s="16" t="str">
        <f>INDEX(emprunts!C:C,MATCH($A1304,emprunts!A:A,0))</f>
        <v>CDC</v>
      </c>
      <c r="C1304" s="18">
        <f>INDEX(emprunts!M:M,MATCH($A1304,emprunts!$A:$A,0))</f>
        <v>37281</v>
      </c>
      <c r="D1304" s="18">
        <f>IF(INDEX(emprunts!O:O,MATCH($A1304,emprunts!$A:$A,0))="",INDEX(emprunts!N:N,MATCH($A1304,emprunts!$A:$A,0)),MIN(INDEX(emprunts!N:N,MATCH($A1304,emprunts!$A:$A,0)),INDEX(emprunts!O:O,MATCH($A1304,emprunts!$A:$A,0))))</f>
        <v>39838</v>
      </c>
      <c r="E1304" s="52">
        <f>INDEX(emprunts!I:I,MATCH($A1304,emprunts!$A:$A,0))</f>
        <v>7</v>
      </c>
      <c r="F1304" s="18" t="str">
        <f>INDEX(emprunts!P:P,MATCH($A1304,emprunts!$A:$A,0))</f>
        <v>Fixe</v>
      </c>
      <c r="G1304" s="126" t="str">
        <f>IF(LEFT(A1304,3)="vx_","vx",INDEX(Categorie,MATCH($A1304,emprunts!$A$2:$A$149,0)))</f>
        <v>Non_st</v>
      </c>
      <c r="H1304">
        <v>2018</v>
      </c>
      <c r="I1304">
        <f t="shared" si="202"/>
        <v>1</v>
      </c>
      <c r="N1304"/>
      <c r="O1304" s="58"/>
      <c r="Q1304" s="58"/>
      <c r="R1304" s="58"/>
      <c r="S1304" s="58"/>
      <c r="T1304" s="58"/>
      <c r="U1304" s="58"/>
      <c r="V1304" s="14" t="str">
        <f t="shared" si="205"/>
        <v/>
      </c>
      <c r="W1304" s="77"/>
      <c r="X1304" s="85">
        <f t="shared" si="203"/>
        <v>0</v>
      </c>
      <c r="Y1304" s="21" t="str">
        <f t="shared" si="204"/>
        <v/>
      </c>
      <c r="AA1304" s="55">
        <f t="shared" si="207"/>
        <v>0</v>
      </c>
      <c r="AB1304" s="55">
        <f t="shared" si="208"/>
        <v>0</v>
      </c>
      <c r="AC1304" s="55">
        <f t="shared" si="209"/>
        <v>0</v>
      </c>
    </row>
    <row r="1305" spans="1:29">
      <c r="A1305" t="s">
        <v>28</v>
      </c>
      <c r="B1305" s="16" t="str">
        <f>INDEX(emprunts!C:C,MATCH($A1305,emprunts!A:A,0))</f>
        <v>CDC</v>
      </c>
      <c r="C1305" s="18">
        <f>INDEX(emprunts!M:M,MATCH($A1305,emprunts!$A:$A,0))</f>
        <v>37288</v>
      </c>
      <c r="D1305" s="18">
        <f>IF(INDEX(emprunts!O:O,MATCH($A1305,emprunts!$A:$A,0))="",INDEX(emprunts!N:N,MATCH($A1305,emprunts!$A:$A,0)),MIN(INDEX(emprunts!N:N,MATCH($A1305,emprunts!$A:$A,0)),INDEX(emprunts!O:O,MATCH($A1305,emprunts!$A:$A,0))))</f>
        <v>44593</v>
      </c>
      <c r="E1305" s="52">
        <f>INDEX(emprunts!I:I,MATCH($A1305,emprunts!$A:$A,0))</f>
        <v>20</v>
      </c>
      <c r="F1305" s="18" t="str">
        <f>INDEX(emprunts!P:P,MATCH($A1305,emprunts!$A:$A,0))</f>
        <v>Livret A</v>
      </c>
      <c r="G1305" s="126" t="str">
        <f>IF(LEFT(A1305,3)="vx_","vx",INDEX(Categorie,MATCH($A1305,emprunts!$A$2:$A$149,0)))</f>
        <v>Livr_A</v>
      </c>
      <c r="H1305">
        <v>2018</v>
      </c>
      <c r="I1305">
        <f t="shared" si="202"/>
        <v>1</v>
      </c>
      <c r="L1305" s="5">
        <v>37653</v>
      </c>
      <c r="M1305" s="5">
        <v>37653</v>
      </c>
      <c r="N1305" s="14">
        <v>2137796</v>
      </c>
      <c r="O1305" s="58">
        <v>498971</v>
      </c>
      <c r="P1305" s="4">
        <v>7.4999999999999997E-3</v>
      </c>
      <c r="Q1305" s="58">
        <v>4660.5</v>
      </c>
      <c r="R1305" s="58">
        <v>122429.83</v>
      </c>
      <c r="S1305" s="58"/>
      <c r="T1305" s="58">
        <v>3420.03</v>
      </c>
      <c r="U1305" s="58">
        <f>SUM(Q1305:S1305)</f>
        <v>127090.33</v>
      </c>
      <c r="V1305" s="14">
        <f t="shared" si="205"/>
        <v>0</v>
      </c>
      <c r="W1305" s="77"/>
      <c r="X1305" s="85">
        <f t="shared" si="203"/>
        <v>0</v>
      </c>
      <c r="Y1305" s="21">
        <f t="shared" si="204"/>
        <v>6.8403151733754577E-3</v>
      </c>
      <c r="AA1305" s="55">
        <f t="shared" si="207"/>
        <v>3821.3500000000004</v>
      </c>
      <c r="AB1305" s="55">
        <f t="shared" si="208"/>
        <v>0.82999999995809048</v>
      </c>
      <c r="AC1305" s="55">
        <f t="shared" si="209"/>
        <v>558651.15906849317</v>
      </c>
    </row>
    <row r="1306" spans="1:29">
      <c r="A1306" t="s">
        <v>31</v>
      </c>
      <c r="B1306" s="16" t="str">
        <f>INDEX(emprunts!C:C,MATCH($A1306,emprunts!A:A,0))</f>
        <v>CDC</v>
      </c>
      <c r="C1306" s="18">
        <f>INDEX(emprunts!M:M,MATCH($A1306,emprunts!$A:$A,0))</f>
        <v>37347</v>
      </c>
      <c r="D1306" s="18">
        <f>IF(INDEX(emprunts!O:O,MATCH($A1306,emprunts!$A:$A,0))="",INDEX(emprunts!N:N,MATCH($A1306,emprunts!$A:$A,0)),MIN(INDEX(emprunts!N:N,MATCH($A1306,emprunts!$A:$A,0)),INDEX(emprunts!O:O,MATCH($A1306,emprunts!$A:$A,0))))</f>
        <v>44652</v>
      </c>
      <c r="E1306" s="52">
        <f>INDEX(emprunts!I:I,MATCH($A1306,emprunts!$A:$A,0))</f>
        <v>20</v>
      </c>
      <c r="F1306" s="18" t="str">
        <f>INDEX(emprunts!P:P,MATCH($A1306,emprunts!$A:$A,0))</f>
        <v>Livret A</v>
      </c>
      <c r="G1306" s="126" t="str">
        <f>IF(LEFT(A1306,3)="vx_","vx",INDEX(Categorie,MATCH($A1306,emprunts!$A$2:$A$149,0)))</f>
        <v>Livr_A</v>
      </c>
      <c r="H1306">
        <v>2018</v>
      </c>
      <c r="I1306">
        <f t="shared" si="202"/>
        <v>1</v>
      </c>
      <c r="N1306"/>
      <c r="O1306" s="58"/>
      <c r="Q1306" s="58"/>
      <c r="R1306" s="58"/>
      <c r="S1306" s="58"/>
      <c r="T1306" s="58"/>
      <c r="U1306" s="58"/>
      <c r="V1306" s="14" t="str">
        <f t="shared" si="205"/>
        <v/>
      </c>
      <c r="W1306" s="77"/>
      <c r="X1306" s="85">
        <f t="shared" si="203"/>
        <v>0</v>
      </c>
      <c r="Y1306" s="21" t="str">
        <f t="shared" si="204"/>
        <v/>
      </c>
      <c r="AA1306" s="55">
        <f t="shared" si="207"/>
        <v>0</v>
      </c>
      <c r="AB1306" s="55">
        <f t="shared" si="208"/>
        <v>0</v>
      </c>
      <c r="AC1306" s="55">
        <f t="shared" si="209"/>
        <v>0</v>
      </c>
    </row>
    <row r="1307" spans="1:29">
      <c r="A1307" t="s">
        <v>33</v>
      </c>
      <c r="B1307" s="16" t="str">
        <f>INDEX(emprunts!C:C,MATCH($A1307,emprunts!A:A,0))</f>
        <v>Crédit Agricole</v>
      </c>
      <c r="C1307" s="18">
        <f>INDEX(emprunts!M:M,MATCH($A1307,emprunts!$A:$A,0))</f>
        <v>37361</v>
      </c>
      <c r="D1307" s="18">
        <f>IF(INDEX(emprunts!O:O,MATCH($A1307,emprunts!$A:$A,0))="",INDEX(emprunts!N:N,MATCH($A1307,emprunts!$A:$A,0)),MIN(INDEX(emprunts!N:N,MATCH($A1307,emprunts!$A:$A,0)),INDEX(emprunts!O:O,MATCH($A1307,emprunts!$A:$A,0))))</f>
        <v>42843</v>
      </c>
      <c r="E1307" s="52">
        <f>INDEX(emprunts!I:I,MATCH($A1307,emprunts!$A:$A,0))</f>
        <v>15</v>
      </c>
      <c r="F1307" s="18" t="str">
        <f>INDEX(emprunts!P:P,MATCH($A1307,emprunts!$A:$A,0))</f>
        <v>Barrière hors zone EUR</v>
      </c>
      <c r="G1307" s="126" t="str">
        <f>IF(LEFT(A1307,3)="vx_","vx",INDEX(Categorie,MATCH($A1307,emprunts!$A$2:$A$149,0)))</f>
        <v>Struct</v>
      </c>
      <c r="H1307">
        <v>2018</v>
      </c>
      <c r="I1307">
        <f t="shared" si="202"/>
        <v>1</v>
      </c>
      <c r="N1307"/>
      <c r="O1307" s="58"/>
      <c r="Q1307" s="58"/>
      <c r="R1307" s="58"/>
      <c r="S1307" s="58"/>
      <c r="T1307" s="58"/>
      <c r="U1307" s="58"/>
      <c r="V1307" s="14" t="str">
        <f t="shared" si="205"/>
        <v/>
      </c>
      <c r="W1307" s="77"/>
      <c r="X1307" s="85">
        <f t="shared" si="203"/>
        <v>0</v>
      </c>
      <c r="Y1307" s="21" t="str">
        <f t="shared" si="204"/>
        <v/>
      </c>
      <c r="AA1307" s="55">
        <f t="shared" si="207"/>
        <v>0</v>
      </c>
      <c r="AB1307" s="55">
        <f t="shared" si="208"/>
        <v>0</v>
      </c>
      <c r="AC1307" s="55">
        <f t="shared" si="209"/>
        <v>0</v>
      </c>
    </row>
    <row r="1308" spans="1:29">
      <c r="A1308" t="s">
        <v>38</v>
      </c>
      <c r="B1308" s="16" t="str">
        <f>INDEX(emprunts!C:C,MATCH($A1308,emprunts!A:A,0))</f>
        <v>Dexia CL</v>
      </c>
      <c r="C1308" s="18">
        <f>INDEX(emprunts!M:M,MATCH($A1308,emprunts!$A:$A,0))</f>
        <v>37377</v>
      </c>
      <c r="D1308" s="18">
        <f>IF(INDEX(emprunts!O:O,MATCH($A1308,emprunts!$A:$A,0))="",INDEX(emprunts!N:N,MATCH($A1308,emprunts!$A:$A,0)),MIN(INDEX(emprunts!N:N,MATCH($A1308,emprunts!$A:$A,0)),INDEX(emprunts!O:O,MATCH($A1308,emprunts!$A:$A,0))))</f>
        <v>38087</v>
      </c>
      <c r="E1308" s="52">
        <f>INDEX(emprunts!I:I,MATCH($A1308,emprunts!$A:$A,0))</f>
        <v>17</v>
      </c>
      <c r="F1308" s="18" t="str">
        <f>INDEX(emprunts!P:P,MATCH($A1308,emprunts!$A:$A,0))</f>
        <v>Barrière</v>
      </c>
      <c r="G1308" s="126" t="str">
        <f>IF(LEFT(A1308,3)="vx_","vx",INDEX(Categorie,MATCH($A1308,emprunts!$A$2:$A$149,0)))</f>
        <v>Struct</v>
      </c>
      <c r="H1308">
        <v>2018</v>
      </c>
      <c r="I1308">
        <f t="shared" si="202"/>
        <v>1</v>
      </c>
      <c r="N1308"/>
      <c r="O1308" s="58"/>
      <c r="Q1308" s="58"/>
      <c r="R1308" s="58"/>
      <c r="S1308" s="58"/>
      <c r="T1308" s="58"/>
      <c r="U1308" s="58"/>
      <c r="V1308" s="14" t="str">
        <f t="shared" si="205"/>
        <v/>
      </c>
      <c r="W1308" s="77"/>
      <c r="X1308" s="85">
        <f t="shared" si="203"/>
        <v>0</v>
      </c>
      <c r="Y1308" s="21" t="str">
        <f t="shared" si="204"/>
        <v/>
      </c>
      <c r="AA1308" s="55">
        <f t="shared" si="207"/>
        <v>0</v>
      </c>
      <c r="AB1308" s="55">
        <f t="shared" si="208"/>
        <v>0</v>
      </c>
      <c r="AC1308" s="55">
        <f t="shared" si="209"/>
        <v>0</v>
      </c>
    </row>
    <row r="1309" spans="1:29">
      <c r="A1309" t="s">
        <v>43</v>
      </c>
      <c r="B1309" s="16" t="str">
        <f>INDEX(emprunts!C:C,MATCH($A1309,emprunts!A:A,0))</f>
        <v>Dexia CL</v>
      </c>
      <c r="C1309" s="18">
        <f>INDEX(emprunts!M:M,MATCH($A1309,emprunts!$A:$A,0))</f>
        <v>37377</v>
      </c>
      <c r="D1309" s="18">
        <f>IF(INDEX(emprunts!O:O,MATCH($A1309,emprunts!$A:$A,0))="",INDEX(emprunts!N:N,MATCH($A1309,emprunts!$A:$A,0)),MIN(INDEX(emprunts!N:N,MATCH($A1309,emprunts!$A:$A,0)),INDEX(emprunts!O:O,MATCH($A1309,emprunts!$A:$A,0))))</f>
        <v>38534</v>
      </c>
      <c r="E1309" s="52">
        <f>INDEX(emprunts!I:I,MATCH($A1309,emprunts!$A:$A,0))</f>
        <v>19.25</v>
      </c>
      <c r="F1309" s="18" t="str">
        <f>INDEX(emprunts!P:P,MATCH($A1309,emprunts!$A:$A,0))</f>
        <v>Barrière hors zone EUR</v>
      </c>
      <c r="G1309" s="126" t="str">
        <f>IF(LEFT(A1309,3)="vx_","vx",INDEX(Categorie,MATCH($A1309,emprunts!$A$2:$A$149,0)))</f>
        <v>Struct</v>
      </c>
      <c r="H1309">
        <v>2018</v>
      </c>
      <c r="I1309">
        <f t="shared" si="202"/>
        <v>1</v>
      </c>
      <c r="N1309"/>
      <c r="O1309" s="58"/>
      <c r="Q1309" s="58"/>
      <c r="R1309" s="58"/>
      <c r="S1309" s="58"/>
      <c r="T1309" s="58"/>
      <c r="U1309" s="58"/>
      <c r="V1309" s="14" t="str">
        <f t="shared" si="205"/>
        <v/>
      </c>
      <c r="W1309" s="77"/>
      <c r="X1309" s="85">
        <f t="shared" si="203"/>
        <v>0</v>
      </c>
      <c r="Y1309" s="21" t="str">
        <f t="shared" si="204"/>
        <v/>
      </c>
      <c r="AA1309" s="55">
        <f t="shared" si="207"/>
        <v>0</v>
      </c>
      <c r="AB1309" s="55">
        <f t="shared" si="208"/>
        <v>0</v>
      </c>
      <c r="AC1309" s="55">
        <f t="shared" si="209"/>
        <v>0</v>
      </c>
    </row>
    <row r="1310" spans="1:29">
      <c r="A1310" t="s">
        <v>46</v>
      </c>
      <c r="B1310" s="16" t="str">
        <f>INDEX(emprunts!C:C,MATCH($A1310,emprunts!A:A,0))</f>
        <v>Dexia CL</v>
      </c>
      <c r="C1310" s="18">
        <f>INDEX(emprunts!M:M,MATCH($A1310,emprunts!$A:$A,0))</f>
        <v>37377</v>
      </c>
      <c r="D1310" s="18">
        <f>IF(INDEX(emprunts!O:O,MATCH($A1310,emprunts!$A:$A,0))="",INDEX(emprunts!N:N,MATCH($A1310,emprunts!$A:$A,0)),MIN(INDEX(emprunts!N:N,MATCH($A1310,emprunts!$A:$A,0)),INDEX(emprunts!O:O,MATCH($A1310,emprunts!$A:$A,0))))</f>
        <v>38087</v>
      </c>
      <c r="E1310" s="52">
        <f>INDEX(emprunts!I:I,MATCH($A1310,emprunts!$A:$A,0))</f>
        <v>19.25</v>
      </c>
      <c r="F1310" s="18" t="str">
        <f>INDEX(emprunts!P:P,MATCH($A1310,emprunts!$A:$A,0))</f>
        <v>Barrière hors zone EUR</v>
      </c>
      <c r="G1310" s="126" t="str">
        <f>IF(LEFT(A1310,3)="vx_","vx",INDEX(Categorie,MATCH($A1310,emprunts!$A$2:$A$149,0)))</f>
        <v>Struct</v>
      </c>
      <c r="H1310">
        <v>2018</v>
      </c>
      <c r="I1310">
        <f t="shared" si="202"/>
        <v>1</v>
      </c>
      <c r="N1310"/>
      <c r="O1310" s="58"/>
      <c r="Q1310" s="58"/>
      <c r="R1310" s="58"/>
      <c r="S1310" s="58"/>
      <c r="T1310" s="58"/>
      <c r="U1310" s="58"/>
      <c r="V1310" s="14" t="str">
        <f t="shared" si="205"/>
        <v/>
      </c>
      <c r="W1310" s="77"/>
      <c r="X1310" s="85">
        <f t="shared" si="203"/>
        <v>0</v>
      </c>
      <c r="Y1310" s="21" t="str">
        <f t="shared" si="204"/>
        <v/>
      </c>
      <c r="AA1310" s="55">
        <f t="shared" si="207"/>
        <v>0</v>
      </c>
      <c r="AB1310" s="55">
        <f t="shared" si="208"/>
        <v>0</v>
      </c>
      <c r="AC1310" s="55">
        <f t="shared" si="209"/>
        <v>0</v>
      </c>
    </row>
    <row r="1311" spans="1:29">
      <c r="A1311" t="s">
        <v>51</v>
      </c>
      <c r="B1311" s="16" t="str">
        <f>INDEX(emprunts!C:C,MATCH($A1311,emprunts!A:A,0))</f>
        <v>Dexia CL</v>
      </c>
      <c r="C1311" s="18">
        <f>INDEX(emprunts!M:M,MATCH($A1311,emprunts!$A:$A,0))</f>
        <v>37377</v>
      </c>
      <c r="D1311" s="18">
        <f>IF(INDEX(emprunts!O:O,MATCH($A1311,emprunts!$A:$A,0))="",INDEX(emprunts!N:N,MATCH($A1311,emprunts!$A:$A,0)),MIN(INDEX(emprunts!N:N,MATCH($A1311,emprunts!$A:$A,0)),INDEX(emprunts!O:O,MATCH($A1311,emprunts!$A:$A,0))))</f>
        <v>38193</v>
      </c>
      <c r="E1311" s="52">
        <f>INDEX(emprunts!I:I,MATCH($A1311,emprunts!$A:$A,0))</f>
        <v>8</v>
      </c>
      <c r="F1311" s="18" t="str">
        <f>INDEX(emprunts!P:P,MATCH($A1311,emprunts!$A:$A,0))</f>
        <v>Variable hors zone EUR</v>
      </c>
      <c r="G1311" s="126" t="str">
        <f>IF(LEFT(A1311,3)="vx_","vx",INDEX(Categorie,MATCH($A1311,emprunts!$A$2:$A$149,0)))</f>
        <v>Struct</v>
      </c>
      <c r="H1311">
        <v>2018</v>
      </c>
      <c r="I1311">
        <f t="shared" si="202"/>
        <v>1</v>
      </c>
      <c r="N1311"/>
      <c r="O1311" s="58"/>
      <c r="Q1311" s="58"/>
      <c r="R1311" s="58"/>
      <c r="S1311" s="58"/>
      <c r="T1311" s="58"/>
      <c r="U1311" s="58"/>
      <c r="V1311" s="14" t="str">
        <f t="shared" si="205"/>
        <v/>
      </c>
      <c r="W1311" s="77"/>
      <c r="X1311" s="85">
        <f t="shared" si="203"/>
        <v>0</v>
      </c>
      <c r="Y1311" s="21" t="str">
        <f t="shared" si="204"/>
        <v/>
      </c>
      <c r="AA1311" s="55">
        <f t="shared" si="207"/>
        <v>0</v>
      </c>
      <c r="AB1311" s="55">
        <f t="shared" si="208"/>
        <v>0</v>
      </c>
      <c r="AC1311" s="55">
        <f t="shared" si="209"/>
        <v>0</v>
      </c>
    </row>
    <row r="1312" spans="1:29">
      <c r="A1312" t="s">
        <v>55</v>
      </c>
      <c r="B1312" s="16" t="str">
        <f>INDEX(emprunts!C:C,MATCH($A1312,emprunts!A:A,0))</f>
        <v>CDC</v>
      </c>
      <c r="C1312" s="18">
        <f>INDEX(emprunts!M:M,MATCH($A1312,emprunts!$A:$A,0))</f>
        <v>37530</v>
      </c>
      <c r="D1312" s="18">
        <f>IF(INDEX(emprunts!O:O,MATCH($A1312,emprunts!$A:$A,0))="",INDEX(emprunts!N:N,MATCH($A1312,emprunts!$A:$A,0)),MIN(INDEX(emprunts!N:N,MATCH($A1312,emprunts!$A:$A,0)),INDEX(emprunts!O:O,MATCH($A1312,emprunts!$A:$A,0))))</f>
        <v>37530</v>
      </c>
      <c r="E1312" s="52">
        <f>INDEX(emprunts!I:I,MATCH($A1312,emprunts!$A:$A,0))</f>
        <v>20</v>
      </c>
      <c r="F1312" s="18" t="str">
        <f>INDEX(emprunts!P:P,MATCH($A1312,emprunts!$A:$A,0))</f>
        <v>Livret A</v>
      </c>
      <c r="G1312" s="126" t="str">
        <f>IF(LEFT(A1312,3)="vx_","vx",INDEX(Categorie,MATCH($A1312,emprunts!$A$2:$A$149,0)))</f>
        <v>Livr_A</v>
      </c>
      <c r="H1312">
        <v>2018</v>
      </c>
      <c r="I1312">
        <f t="shared" si="202"/>
        <v>1</v>
      </c>
      <c r="N1312"/>
      <c r="O1312" s="58"/>
      <c r="Q1312" s="58"/>
      <c r="R1312" s="58"/>
      <c r="S1312" s="58"/>
      <c r="T1312" s="58"/>
      <c r="U1312" s="58"/>
      <c r="V1312" s="14" t="str">
        <f t="shared" si="205"/>
        <v/>
      </c>
      <c r="W1312" s="77"/>
      <c r="X1312" s="85">
        <f t="shared" si="203"/>
        <v>0</v>
      </c>
      <c r="Y1312" s="21" t="str">
        <f t="shared" si="204"/>
        <v/>
      </c>
      <c r="AA1312" s="55">
        <f t="shared" si="207"/>
        <v>0</v>
      </c>
      <c r="AB1312" s="55">
        <f t="shared" si="208"/>
        <v>0</v>
      </c>
      <c r="AC1312" s="55">
        <f t="shared" si="209"/>
        <v>0</v>
      </c>
    </row>
    <row r="1313" spans="1:29">
      <c r="A1313" t="s">
        <v>57</v>
      </c>
      <c r="B1313" s="16" t="str">
        <f>INDEX(emprunts!C:C,MATCH($A1313,emprunts!A:A,0))</f>
        <v>Dexia CL</v>
      </c>
      <c r="C1313" s="18">
        <f>INDEX(emprunts!M:M,MATCH($A1313,emprunts!$A:$A,0))</f>
        <v>37533</v>
      </c>
      <c r="D1313" s="18">
        <f>IF(INDEX(emprunts!O:O,MATCH($A1313,emprunts!$A:$A,0))="",INDEX(emprunts!N:N,MATCH($A1313,emprunts!$A:$A,0)),MIN(INDEX(emprunts!N:N,MATCH($A1313,emprunts!$A:$A,0)),INDEX(emprunts!O:O,MATCH($A1313,emprunts!$A:$A,0))))</f>
        <v>38193</v>
      </c>
      <c r="E1313" s="52">
        <f>INDEX(emprunts!I:I,MATCH($A1313,emprunts!$A:$A,0))</f>
        <v>20</v>
      </c>
      <c r="F1313" s="18" t="str">
        <f>INDEX(emprunts!P:P,MATCH($A1313,emprunts!$A:$A,0))</f>
        <v>Fixe</v>
      </c>
      <c r="G1313" s="126" t="str">
        <f>IF(LEFT(A1313,3)="vx_","vx",INDEX(Categorie,MATCH($A1313,emprunts!$A$2:$A$149,0)))</f>
        <v>Non_st</v>
      </c>
      <c r="H1313">
        <v>2018</v>
      </c>
      <c r="I1313">
        <f t="shared" si="202"/>
        <v>1</v>
      </c>
      <c r="N1313"/>
      <c r="O1313" s="58"/>
      <c r="Q1313" s="58"/>
      <c r="R1313" s="58"/>
      <c r="S1313" s="58"/>
      <c r="T1313" s="58"/>
      <c r="U1313" s="58"/>
      <c r="V1313" s="14" t="str">
        <f t="shared" si="205"/>
        <v/>
      </c>
      <c r="W1313" s="77"/>
      <c r="X1313" s="85">
        <f t="shared" si="203"/>
        <v>0</v>
      </c>
      <c r="Y1313" s="21" t="str">
        <f t="shared" si="204"/>
        <v/>
      </c>
      <c r="AA1313" s="55">
        <f t="shared" si="207"/>
        <v>0</v>
      </c>
      <c r="AB1313" s="55">
        <f t="shared" si="208"/>
        <v>0</v>
      </c>
      <c r="AC1313" s="55">
        <f t="shared" si="209"/>
        <v>0</v>
      </c>
    </row>
    <row r="1314" spans="1:29">
      <c r="A1314" t="s">
        <v>59</v>
      </c>
      <c r="B1314" s="16" t="str">
        <f>INDEX(emprunts!C:C,MATCH($A1314,emprunts!A:A,0))</f>
        <v>CDC</v>
      </c>
      <c r="C1314" s="18">
        <f>INDEX(emprunts!M:M,MATCH($A1314,emprunts!$A:$A,0))</f>
        <v>37621</v>
      </c>
      <c r="D1314" s="18">
        <f>IF(INDEX(emprunts!O:O,MATCH($A1314,emprunts!$A:$A,0))="",INDEX(emprunts!N:N,MATCH($A1314,emprunts!$A:$A,0)),MIN(INDEX(emprunts!N:N,MATCH($A1314,emprunts!$A:$A,0)),INDEX(emprunts!O:O,MATCH($A1314,emprunts!$A:$A,0))))</f>
        <v>44927</v>
      </c>
      <c r="E1314" s="52">
        <f>INDEX(emprunts!I:I,MATCH($A1314,emprunts!$A:$A,0))</f>
        <v>20</v>
      </c>
      <c r="F1314" s="18" t="str">
        <f>INDEX(emprunts!P:P,MATCH($A1314,emprunts!$A:$A,0))</f>
        <v>Livret A</v>
      </c>
      <c r="G1314" s="126" t="str">
        <f>IF(LEFT(A1314,3)="vx_","vx",INDEX(Categorie,MATCH($A1314,emprunts!$A$2:$A$149,0)))</f>
        <v>Livr_A</v>
      </c>
      <c r="H1314">
        <v>2018</v>
      </c>
      <c r="I1314">
        <f t="shared" ref="I1314:I1321" si="210">1*(C1314&lt;DATE(H1314,12,31))</f>
        <v>1</v>
      </c>
      <c r="N1314"/>
      <c r="O1314" s="58"/>
      <c r="Q1314" s="58"/>
      <c r="R1314" s="58"/>
      <c r="S1314" s="58"/>
      <c r="T1314" s="58"/>
      <c r="U1314" s="58"/>
      <c r="V1314" s="14" t="str">
        <f t="shared" si="205"/>
        <v/>
      </c>
      <c r="W1314" s="77"/>
      <c r="X1314" s="85">
        <f t="shared" ref="X1314:X1321" si="211">SUMPRODUCT((De=$A1314)*(année_refi=$H1314),Montant_transfere)</f>
        <v>0</v>
      </c>
      <c r="Y1314" s="21" t="str">
        <f t="shared" si="204"/>
        <v/>
      </c>
      <c r="AA1314" s="55">
        <f t="shared" si="207"/>
        <v>0</v>
      </c>
      <c r="AB1314" s="55">
        <f t="shared" si="208"/>
        <v>0</v>
      </c>
      <c r="AC1314" s="55">
        <f t="shared" si="209"/>
        <v>0</v>
      </c>
    </row>
    <row r="1315" spans="1:29">
      <c r="A1315" t="s">
        <v>78</v>
      </c>
      <c r="B1315" s="16" t="str">
        <f>INDEX(emprunts!C:C,MATCH($A1315,emprunts!A:A,0))</f>
        <v>Dexia CL</v>
      </c>
      <c r="C1315" s="18">
        <f>INDEX(emprunts!M:M,MATCH($A1315,emprunts!$A:$A,0))</f>
        <v>37772</v>
      </c>
      <c r="D1315" s="18">
        <f>IF(INDEX(emprunts!O:O,MATCH($A1315,emprunts!$A:$A,0))="",INDEX(emprunts!N:N,MATCH($A1315,emprunts!$A:$A,0)),MIN(INDEX(emprunts!N:N,MATCH($A1315,emprunts!$A:$A,0)),INDEX(emprunts!O:O,MATCH($A1315,emprunts!$A:$A,0))))</f>
        <v>38443</v>
      </c>
      <c r="E1315" s="52">
        <f>INDEX(emprunts!I:I,MATCH($A1315,emprunts!$A:$A,0))</f>
        <v>20</v>
      </c>
      <c r="F1315" s="18" t="str">
        <f>INDEX(emprunts!P:P,MATCH($A1315,emprunts!$A:$A,0))</f>
        <v>Barrière</v>
      </c>
      <c r="G1315" s="126" t="str">
        <f>IF(LEFT(A1315,3)="vx_","vx",INDEX(Categorie,MATCH($A1315,emprunts!$A$2:$A$149,0)))</f>
        <v>Struct</v>
      </c>
      <c r="H1315">
        <v>2018</v>
      </c>
      <c r="I1315">
        <f t="shared" si="210"/>
        <v>1</v>
      </c>
      <c r="N1315"/>
      <c r="O1315" s="58"/>
      <c r="Q1315" s="58"/>
      <c r="R1315" s="58"/>
      <c r="S1315" s="58"/>
      <c r="T1315" s="58"/>
      <c r="U1315" s="58"/>
      <c r="V1315" s="14" t="str">
        <f t="shared" si="205"/>
        <v/>
      </c>
      <c r="W1315" s="77"/>
      <c r="X1315" s="85">
        <f t="shared" si="211"/>
        <v>0</v>
      </c>
      <c r="Y1315" s="21" t="str">
        <f t="shared" si="204"/>
        <v/>
      </c>
      <c r="AA1315" s="55">
        <f t="shared" si="207"/>
        <v>0</v>
      </c>
      <c r="AB1315" s="55">
        <f t="shared" si="208"/>
        <v>0</v>
      </c>
      <c r="AC1315" s="55">
        <f t="shared" si="209"/>
        <v>0</v>
      </c>
    </row>
    <row r="1316" spans="1:29">
      <c r="A1316" t="s">
        <v>204</v>
      </c>
      <c r="B1316" s="16" t="str">
        <f>INDEX(emprunts!C:C,MATCH($A1316,emprunts!A:A,0))</f>
        <v>Crédit Agricole</v>
      </c>
      <c r="C1316" s="18">
        <f>INDEX(emprunts!M:M,MATCH($A1316,emprunts!$A:$A,0))</f>
        <v>38782</v>
      </c>
      <c r="D1316" s="18">
        <f>IF(INDEX(emprunts!O:O,MATCH($A1316,emprunts!$A:$A,0))="",INDEX(emprunts!N:N,MATCH($A1316,emprunts!$A:$A,0)),MIN(INDEX(emprunts!N:N,MATCH($A1316,emprunts!$A:$A,0)),INDEX(emprunts!O:O,MATCH($A1316,emprunts!$A:$A,0))))</f>
        <v>44257</v>
      </c>
      <c r="E1316" s="52">
        <f>INDEX(emprunts!I:I,MATCH($A1316,emprunts!$A:$A,0))</f>
        <v>15</v>
      </c>
      <c r="F1316" s="18" t="str">
        <f>INDEX(emprunts!P:P,MATCH($A1316,emprunts!$A:$A,0))</f>
        <v>Barrière</v>
      </c>
      <c r="G1316" s="126" t="str">
        <f>IF(LEFT(A1316,3)="vx_","vx",INDEX(Categorie,MATCH($A1316,emprunts!$A$2:$A$149,0)))</f>
        <v>Struct</v>
      </c>
      <c r="H1316">
        <v>2018</v>
      </c>
      <c r="I1316">
        <f t="shared" si="210"/>
        <v>1</v>
      </c>
      <c r="N1316"/>
      <c r="O1316" s="58"/>
      <c r="Q1316" s="58"/>
      <c r="R1316" s="58"/>
      <c r="S1316" s="58"/>
      <c r="T1316" s="58"/>
      <c r="U1316" s="58"/>
      <c r="V1316" s="14" t="str">
        <f t="shared" ref="V1316:V1331" si="212">IF(U1316="","",U1316-SUM(Q1316:S1316))</f>
        <v/>
      </c>
      <c r="W1316" s="77"/>
      <c r="X1316" s="85">
        <f t="shared" si="211"/>
        <v>0</v>
      </c>
      <c r="Y1316" s="21" t="str">
        <f t="shared" ref="Y1316:Y1328" si="213">IF(AND(AA1316&gt;0,YEAR(C1316)&lt;=H1316),AA1316/AC1316,"")</f>
        <v/>
      </c>
      <c r="AA1316" s="55">
        <f t="shared" si="207"/>
        <v>0</v>
      </c>
      <c r="AB1316" s="55">
        <f t="shared" si="208"/>
        <v>0</v>
      </c>
      <c r="AC1316" s="55">
        <f t="shared" si="209"/>
        <v>0</v>
      </c>
    </row>
    <row r="1317" spans="1:29">
      <c r="A1317" t="s">
        <v>207</v>
      </c>
      <c r="B1317" s="16" t="str">
        <f>INDEX(emprunts!C:C,MATCH($A1317,emprunts!A:A,0))</f>
        <v>Crédit Agricole</v>
      </c>
      <c r="C1317" s="18">
        <f>INDEX(emprunts!M:M,MATCH($A1317,emprunts!$A:$A,0))</f>
        <v>38782</v>
      </c>
      <c r="D1317" s="18">
        <f>IF(INDEX(emprunts!O:O,MATCH($A1317,emprunts!$A:$A,0))="",INDEX(emprunts!N:N,MATCH($A1317,emprunts!$A:$A,0)),MIN(INDEX(emprunts!N:N,MATCH($A1317,emprunts!$A:$A,0)),INDEX(emprunts!O:O,MATCH($A1317,emprunts!$A:$A,0))))</f>
        <v>44261</v>
      </c>
      <c r="E1317" s="52">
        <f>INDEX(emprunts!I:I,MATCH($A1317,emprunts!$A:$A,0))</f>
        <v>15</v>
      </c>
      <c r="F1317" s="18" t="str">
        <f>INDEX(emprunts!P:P,MATCH($A1317,emprunts!$A:$A,0))</f>
        <v>Fixe</v>
      </c>
      <c r="G1317" s="126" t="str">
        <f>IF(LEFT(A1317,3)="vx_","vx",INDEX(Categorie,MATCH($A1317,emprunts!$A$2:$A$149,0)))</f>
        <v>Non_st</v>
      </c>
      <c r="H1317">
        <v>2018</v>
      </c>
      <c r="I1317">
        <f t="shared" si="210"/>
        <v>1</v>
      </c>
      <c r="N1317"/>
      <c r="O1317" s="58">
        <v>1223858</v>
      </c>
      <c r="P1317" s="4">
        <v>3.2199999999999999E-2</v>
      </c>
      <c r="Q1317" s="58">
        <v>109756.12</v>
      </c>
      <c r="R1317" s="58">
        <v>379786.56</v>
      </c>
      <c r="S1317" s="58"/>
      <c r="T1317" s="58">
        <v>58051.94</v>
      </c>
      <c r="U1317" s="58">
        <f>SUM(Q1317:S1317)</f>
        <v>489542.68</v>
      </c>
      <c r="V1317" s="14">
        <f t="shared" si="212"/>
        <v>0</v>
      </c>
      <c r="W1317" s="77"/>
      <c r="X1317" s="85">
        <f t="shared" si="211"/>
        <v>0</v>
      </c>
      <c r="Y1317" s="21">
        <f t="shared" si="213"/>
        <v>8.5396737132270834E-2</v>
      </c>
      <c r="Z1317" t="s">
        <v>611</v>
      </c>
      <c r="AA1317" s="55">
        <f t="shared" si="207"/>
        <v>120398.98</v>
      </c>
      <c r="AB1317" s="55">
        <f t="shared" si="208"/>
        <v>-0.43999999994412065</v>
      </c>
      <c r="AC1317" s="55">
        <f t="shared" si="209"/>
        <v>1409877.9888219179</v>
      </c>
    </row>
    <row r="1318" spans="1:29">
      <c r="A1318" t="s">
        <v>223</v>
      </c>
      <c r="B1318" s="16" t="str">
        <f>INDEX(emprunts!C:C,MATCH($A1318,emprunts!A:A,0))</f>
        <v>Crédit Agricole</v>
      </c>
      <c r="C1318" s="18">
        <f>INDEX(emprunts!M:M,MATCH($A1318,emprunts!$A:$A,0))</f>
        <v>39182</v>
      </c>
      <c r="D1318" s="18">
        <f>IF(INDEX(emprunts!O:O,MATCH($A1318,emprunts!$A:$A,0))="",INDEX(emprunts!N:N,MATCH($A1318,emprunts!$A:$A,0)),MIN(INDEX(emprunts!N:N,MATCH($A1318,emprunts!$A:$A,0)),INDEX(emprunts!O:O,MATCH($A1318,emprunts!$A:$A,0))))</f>
        <v>46813</v>
      </c>
      <c r="E1318" s="52">
        <f>INDEX(emprunts!I:I,MATCH($A1318,emprunts!$A:$A,0))</f>
        <v>20</v>
      </c>
      <c r="F1318" s="18" t="str">
        <f>INDEX(emprunts!P:P,MATCH($A1318,emprunts!$A:$A,0))</f>
        <v>Pente</v>
      </c>
      <c r="G1318" s="126" t="str">
        <f>IF(LEFT(A1318,3)="vx_","vx",INDEX(Categorie,MATCH($A1318,emprunts!$A$2:$A$149,0)))</f>
        <v>Struct</v>
      </c>
      <c r="H1318">
        <v>2018</v>
      </c>
      <c r="I1318">
        <f t="shared" si="210"/>
        <v>1</v>
      </c>
      <c r="N1318"/>
      <c r="O1318" s="58">
        <v>2841775.51</v>
      </c>
      <c r="P1318" s="4">
        <v>6.0000000000000001E-3</v>
      </c>
      <c r="Q1318" s="58">
        <v>27010.720000000001</v>
      </c>
      <c r="R1318" s="58">
        <f>60311.34+184852</f>
        <v>245163.34</v>
      </c>
      <c r="S1318" s="58"/>
      <c r="T1318" s="58">
        <v>0</v>
      </c>
      <c r="U1318" s="58">
        <f>SUM(Q1318:S1318)</f>
        <v>272174.06</v>
      </c>
      <c r="V1318" s="14">
        <f t="shared" si="212"/>
        <v>0</v>
      </c>
      <c r="W1318" s="77"/>
      <c r="X1318" s="85">
        <f t="shared" si="211"/>
        <v>0</v>
      </c>
      <c r="Y1318" s="21">
        <f t="shared" si="213"/>
        <v>6.0912430911269928E-3</v>
      </c>
      <c r="Z1318" t="s">
        <v>676</v>
      </c>
      <c r="AA1318" s="55">
        <f t="shared" si="207"/>
        <v>18007.150000000001</v>
      </c>
      <c r="AB1318" s="55">
        <f t="shared" si="208"/>
        <v>-0.15000000037252903</v>
      </c>
      <c r="AC1318" s="55">
        <f t="shared" ref="AC1318:AC1349" si="214">MAX(0,(C1318-DATE(H1318,1,1))/365)*0+MAX(0,MIN(1,(MIN(DATE(H1318,12,31),D1318)-MAX(DATE(H1318,1,1),C1318))/365))*(O1318+X1318+R1318/2)</f>
        <v>2956235.6534794518</v>
      </c>
    </row>
    <row r="1319" spans="1:29">
      <c r="A1319" t="s">
        <v>257</v>
      </c>
      <c r="B1319" s="16" t="str">
        <f>INDEX(emprunts!C:C,MATCH($A1319,emprunts!A:A,0))</f>
        <v>Dexia CL</v>
      </c>
      <c r="C1319" s="18">
        <f>INDEX(emprunts!M:M,MATCH($A1319,emprunts!$A:$A,0))</f>
        <v>41214</v>
      </c>
      <c r="D1319" s="18">
        <f>IF(INDEX(emprunts!O:O,MATCH($A1319,emprunts!$A:$A,0))="",INDEX(emprunts!N:N,MATCH($A1319,emprunts!$A:$A,0)),MIN(INDEX(emprunts!N:N,MATCH($A1319,emprunts!$A:$A,0)),INDEX(emprunts!O:O,MATCH($A1319,emprunts!$A:$A,0))))</f>
        <v>43040</v>
      </c>
      <c r="E1319" s="52">
        <f>INDEX(emprunts!I:I,MATCH($A1319,emprunts!$A:$A,0))</f>
        <v>25</v>
      </c>
      <c r="F1319" s="18" t="str">
        <f>INDEX(emprunts!P:P,MATCH($A1319,emprunts!$A:$A,0))</f>
        <v>Change</v>
      </c>
      <c r="G1319" s="126" t="str">
        <f>IF(LEFT(A1319,3)="vx_","vx",INDEX(Categorie,MATCH($A1319,emprunts!$A$2:$A$149,0)))</f>
        <v>Struct</v>
      </c>
      <c r="H1319">
        <v>2018</v>
      </c>
      <c r="I1319">
        <f t="shared" si="210"/>
        <v>1</v>
      </c>
      <c r="N1319"/>
      <c r="O1319" s="58"/>
      <c r="Q1319" s="58"/>
      <c r="R1319" s="58"/>
      <c r="S1319" s="58"/>
      <c r="T1319" s="58"/>
      <c r="U1319" s="58"/>
      <c r="V1319" s="14" t="str">
        <f t="shared" si="212"/>
        <v/>
      </c>
      <c r="W1319" s="77"/>
      <c r="X1319" s="85">
        <f t="shared" si="211"/>
        <v>0</v>
      </c>
      <c r="Y1319" s="21" t="str">
        <f t="shared" si="213"/>
        <v/>
      </c>
      <c r="AA1319" s="55">
        <f t="shared" si="207"/>
        <v>0</v>
      </c>
      <c r="AB1319" s="55">
        <f t="shared" si="208"/>
        <v>0</v>
      </c>
      <c r="AC1319" s="55">
        <f t="shared" si="214"/>
        <v>0</v>
      </c>
    </row>
    <row r="1320" spans="1:29">
      <c r="A1320" t="s">
        <v>265</v>
      </c>
      <c r="B1320" s="16" t="str">
        <f>INDEX(emprunts!C:C,MATCH($A1320,emprunts!A:A,0))</f>
        <v>Dexia CL</v>
      </c>
      <c r="C1320" s="18">
        <f>INDEX(emprunts!M:M,MATCH($A1320,emprunts!$A:$A,0))</f>
        <v>39899</v>
      </c>
      <c r="D1320" s="18">
        <f>IF(INDEX(emprunts!O:O,MATCH($A1320,emprunts!$A:$A,0))="",INDEX(emprunts!N:N,MATCH($A1320,emprunts!$A:$A,0)),MIN(INDEX(emprunts!N:N,MATCH($A1320,emprunts!$A:$A,0)),INDEX(emprunts!O:O,MATCH($A1320,emprunts!$A:$A,0))))</f>
        <v>47209</v>
      </c>
      <c r="E1320" s="52">
        <f>INDEX(emprunts!I:I,MATCH($A1320,emprunts!$A:$A,0))</f>
        <v>20</v>
      </c>
      <c r="F1320" s="18" t="str">
        <f>INDEX(emprunts!P:P,MATCH($A1320,emprunts!$A:$A,0))</f>
        <v>Fixe</v>
      </c>
      <c r="G1320" s="126" t="str">
        <f>IF(LEFT(A1320,3)="vx_","vx",INDEX(Categorie,MATCH($A1320,emprunts!$A$2:$A$149,0)))</f>
        <v>Non_st</v>
      </c>
      <c r="H1320">
        <v>2018</v>
      </c>
      <c r="I1320">
        <f t="shared" si="210"/>
        <v>1</v>
      </c>
      <c r="N1320"/>
      <c r="O1320" s="58">
        <v>3800972</v>
      </c>
      <c r="P1320" s="4">
        <v>4.53E-2</v>
      </c>
      <c r="Q1320" s="58">
        <v>180570.94</v>
      </c>
      <c r="R1320" s="58">
        <v>277674.92</v>
      </c>
      <c r="S1320" s="58"/>
      <c r="T1320" s="58">
        <v>43043.9</v>
      </c>
      <c r="U1320" s="58">
        <f>SUM(Q1320:S1320)</f>
        <v>458245.86</v>
      </c>
      <c r="V1320" s="14">
        <f t="shared" si="212"/>
        <v>0</v>
      </c>
      <c r="W1320" s="77"/>
      <c r="X1320" s="85">
        <f t="shared" si="211"/>
        <v>0</v>
      </c>
      <c r="Y1320" s="21">
        <f t="shared" si="213"/>
        <v>4.5157984675680281E-2</v>
      </c>
      <c r="AA1320" s="55">
        <f t="shared" si="207"/>
        <v>177426.41999999998</v>
      </c>
      <c r="AB1320" s="55">
        <f t="shared" si="208"/>
        <v>-8.0000000074505806E-2</v>
      </c>
      <c r="AC1320" s="55">
        <f t="shared" si="214"/>
        <v>3929015.461479452</v>
      </c>
    </row>
    <row r="1321" spans="1:29">
      <c r="A1321" t="s">
        <v>270</v>
      </c>
      <c r="B1321" s="16" t="str">
        <f>INDEX(emprunts!C:C,MATCH($A1321,emprunts!A:A,0))</f>
        <v>Dexia CL</v>
      </c>
      <c r="C1321" s="18">
        <f>INDEX(emprunts!M:M,MATCH($A1321,emprunts!$A:$A,0))</f>
        <v>40118</v>
      </c>
      <c r="D1321" s="18">
        <f>IF(INDEX(emprunts!O:O,MATCH($A1321,emprunts!$A:$A,0))="",INDEX(emprunts!N:N,MATCH($A1321,emprunts!$A:$A,0)),MIN(INDEX(emprunts!N:N,MATCH($A1321,emprunts!$A:$A,0)),INDEX(emprunts!O:O,MATCH($A1321,emprunts!$A:$A,0))))</f>
        <v>43040</v>
      </c>
      <c r="E1321" s="52">
        <f>INDEX(emprunts!I:I,MATCH($A1321,emprunts!$A:$A,0))</f>
        <v>23</v>
      </c>
      <c r="F1321" s="18" t="str">
        <f>INDEX(emprunts!P:P,MATCH($A1321,emprunts!$A:$A,0))</f>
        <v>Pente</v>
      </c>
      <c r="G1321" s="126" t="str">
        <f>IF(LEFT(A1321,3)="vx_","vx",INDEX(Categorie,MATCH($A1321,emprunts!$A$2:$A$149,0)))</f>
        <v>Struct</v>
      </c>
      <c r="H1321">
        <v>2018</v>
      </c>
      <c r="I1321">
        <f t="shared" si="210"/>
        <v>1</v>
      </c>
      <c r="N1321"/>
      <c r="O1321" s="58"/>
      <c r="Q1321" s="58"/>
      <c r="R1321" s="58"/>
      <c r="S1321" s="58"/>
      <c r="T1321" s="58"/>
      <c r="U1321" s="58"/>
      <c r="V1321" s="14" t="str">
        <f t="shared" si="212"/>
        <v/>
      </c>
      <c r="W1321" s="77"/>
      <c r="X1321" s="85">
        <f t="shared" si="211"/>
        <v>0</v>
      </c>
      <c r="Y1321" s="21" t="str">
        <f t="shared" si="213"/>
        <v/>
      </c>
      <c r="AA1321" s="55">
        <f t="shared" si="207"/>
        <v>0</v>
      </c>
      <c r="AB1321" s="55">
        <f t="shared" si="208"/>
        <v>0</v>
      </c>
      <c r="AC1321" s="55">
        <f t="shared" si="214"/>
        <v>0</v>
      </c>
    </row>
    <row r="1322" spans="1:29" ht="30">
      <c r="A1322" t="s">
        <v>274</v>
      </c>
      <c r="B1322" s="16" t="str">
        <f>INDEX(emprunts!C:C,MATCH($A1322,emprunts!A:A,0))</f>
        <v>Caisse d'Épargne</v>
      </c>
      <c r="C1322" s="18">
        <f>INDEX(emprunts!M:M,MATCH($A1322,emprunts!$A:$A,0))</f>
        <v>40142</v>
      </c>
      <c r="D1322" s="18">
        <f>IF(INDEX(emprunts!O:O,MATCH($A1322,emprunts!$A:$A,0))="",INDEX(emprunts!N:N,MATCH($A1322,emprunts!$A:$A,0)),MIN(INDEX(emprunts!N:N,MATCH($A1322,emprunts!$A:$A,0)),INDEX(emprunts!O:O,MATCH($A1322,emprunts!$A:$A,0))))</f>
        <v>46351</v>
      </c>
      <c r="E1322" s="52">
        <f>INDEX(emprunts!I:I,MATCH($A1322,emprunts!$A:$A,0))</f>
        <v>17</v>
      </c>
      <c r="F1322" s="18" t="str">
        <f>INDEX(emprunts!P:P,MATCH($A1322,emprunts!$A:$A,0))</f>
        <v>Fixe</v>
      </c>
      <c r="G1322" s="126" t="str">
        <f>IF(LEFT(A1322,3)="vx_","vx",INDEX(Categorie,MATCH($A1322,emprunts!$A$2:$A$149,0)))</f>
        <v>Restr_sec</v>
      </c>
      <c r="H1322">
        <v>2018</v>
      </c>
      <c r="I1322">
        <f t="shared" ref="I1322:I1367" si="215">1*(C1322&lt;DATE(H1322,12,31))</f>
        <v>1</v>
      </c>
      <c r="N1322"/>
      <c r="O1322" s="58">
        <v>2417159</v>
      </c>
      <c r="P1322" s="4">
        <v>4.7500000000000001E-2</v>
      </c>
      <c r="Q1322" s="58">
        <v>127479.19</v>
      </c>
      <c r="R1322" s="58">
        <v>258009.27</v>
      </c>
      <c r="S1322" s="58"/>
      <c r="T1322" s="58">
        <v>11360.65</v>
      </c>
      <c r="U1322" s="58">
        <f>SUM(Q1322:S1322)</f>
        <v>385488.45999999996</v>
      </c>
      <c r="V1322" s="14">
        <f t="shared" si="212"/>
        <v>0</v>
      </c>
      <c r="W1322" s="77"/>
      <c r="X1322" s="85">
        <f t="shared" ref="X1322:X1367" si="216">SUMPRODUCT((De=$A1322)*(année_refi=$H1322),Montant_transfere)</f>
        <v>0</v>
      </c>
      <c r="Y1322" s="21">
        <f t="shared" si="213"/>
        <v>4.9727140230079368E-2</v>
      </c>
      <c r="AA1322" s="55">
        <f t="shared" si="207"/>
        <v>126266.54999999999</v>
      </c>
      <c r="AB1322" s="55">
        <f t="shared" si="208"/>
        <v>0.27000000001862645</v>
      </c>
      <c r="AC1322" s="55">
        <f t="shared" si="214"/>
        <v>2539187.844219178</v>
      </c>
    </row>
    <row r="1323" spans="1:29">
      <c r="A1323" t="s">
        <v>276</v>
      </c>
      <c r="B1323" s="16" t="str">
        <f>INDEX(emprunts!C:C,MATCH($A1323,emprunts!A:A,0))</f>
        <v>Arkea</v>
      </c>
      <c r="C1323" s="18">
        <f>INDEX(emprunts!M:M,MATCH($A1323,emprunts!$A:$A,0))</f>
        <v>40168</v>
      </c>
      <c r="D1323" s="18">
        <f>IF(INDEX(emprunts!O:O,MATCH($A1323,emprunts!$A:$A,0))="",INDEX(emprunts!N:N,MATCH($A1323,emprunts!$A:$A,0)),MIN(INDEX(emprunts!N:N,MATCH($A1323,emprunts!$A:$A,0)),INDEX(emprunts!O:O,MATCH($A1323,emprunts!$A:$A,0))))</f>
        <v>47786</v>
      </c>
      <c r="E1323" s="52">
        <f>INDEX(emprunts!I:I,MATCH($A1323,emprunts!$A:$A,0))</f>
        <v>20</v>
      </c>
      <c r="F1323" s="18" t="str">
        <f>INDEX(emprunts!P:P,MATCH($A1323,emprunts!$A:$A,0))</f>
        <v>Variable</v>
      </c>
      <c r="G1323" s="126" t="str">
        <f>IF(LEFT(A1323,3)="vx_","vx",INDEX(Categorie,MATCH($A1323,emprunts!$A$2:$A$149,0)))</f>
        <v>Non_st</v>
      </c>
      <c r="H1323">
        <v>2018</v>
      </c>
      <c r="I1323">
        <f t="shared" si="215"/>
        <v>1</v>
      </c>
      <c r="N1323"/>
      <c r="O1323" s="58"/>
      <c r="Q1323" s="58"/>
      <c r="R1323" s="58"/>
      <c r="S1323" s="58"/>
      <c r="T1323" s="58"/>
      <c r="U1323" s="58"/>
      <c r="V1323" s="14" t="str">
        <f t="shared" si="212"/>
        <v/>
      </c>
      <c r="W1323" s="77"/>
      <c r="X1323" s="85">
        <f t="shared" si="216"/>
        <v>0</v>
      </c>
      <c r="Y1323" s="21" t="str">
        <f t="shared" si="213"/>
        <v/>
      </c>
      <c r="AA1323" s="55">
        <f t="shared" si="207"/>
        <v>0</v>
      </c>
      <c r="AB1323" s="55">
        <f t="shared" si="208"/>
        <v>0</v>
      </c>
      <c r="AC1323" s="55">
        <f t="shared" si="214"/>
        <v>0</v>
      </c>
    </row>
    <row r="1324" spans="1:29">
      <c r="A1324" t="s">
        <v>302</v>
      </c>
      <c r="B1324" s="16" t="str">
        <f>INDEX(emprunts!C:C,MATCH($A1324,emprunts!A:A,0))</f>
        <v>Dexia CL</v>
      </c>
      <c r="C1324" s="18">
        <f>INDEX(emprunts!M:M,MATCH($A1324,emprunts!$A:$A,0))</f>
        <v>40384</v>
      </c>
      <c r="D1324" s="18">
        <f>IF(INDEX(emprunts!O:O,MATCH($A1324,emprunts!$A:$A,0))="",INDEX(emprunts!N:N,MATCH($A1324,emprunts!$A:$A,0)),MIN(INDEX(emprunts!N:N,MATCH($A1324,emprunts!$A:$A,0)),INDEX(emprunts!O:O,MATCH($A1324,emprunts!$A:$A,0))))</f>
        <v>45901</v>
      </c>
      <c r="E1324" s="52">
        <f>INDEX(emprunts!I:I,MATCH($A1324,emprunts!$A:$A,0))</f>
        <v>15</v>
      </c>
      <c r="F1324" s="18" t="str">
        <f>INDEX(emprunts!P:P,MATCH($A1324,emprunts!$A:$A,0))</f>
        <v>Fixe</v>
      </c>
      <c r="G1324" s="126" t="str">
        <f>IF(LEFT(A1324,3)="vx_","vx",INDEX(Categorie,MATCH($A1324,emprunts!$A$2:$A$149,0)))</f>
        <v>Non_st</v>
      </c>
      <c r="H1324">
        <v>2018</v>
      </c>
      <c r="I1324">
        <f t="shared" si="215"/>
        <v>1</v>
      </c>
      <c r="N1324"/>
      <c r="O1324" s="58">
        <v>367309</v>
      </c>
      <c r="P1324" s="4">
        <v>2.1299999999999999E-2</v>
      </c>
      <c r="Q1324" s="58">
        <v>8531.67</v>
      </c>
      <c r="R1324" s="58">
        <v>50054.41</v>
      </c>
      <c r="S1324" s="58"/>
      <c r="T1324" s="58">
        <v>633.20000000000005</v>
      </c>
      <c r="U1324" s="58">
        <f t="shared" ref="U1324:U1325" si="217">SUM(Q1324:S1324)</f>
        <v>58586.080000000002</v>
      </c>
      <c r="V1324" s="14">
        <f t="shared" si="212"/>
        <v>0</v>
      </c>
      <c r="W1324" s="77"/>
      <c r="X1324" s="85">
        <f t="shared" si="216"/>
        <v>0</v>
      </c>
      <c r="Y1324" s="21">
        <f t="shared" si="213"/>
        <v>2.1585011746256235E-2</v>
      </c>
      <c r="AA1324" s="55">
        <f t="shared" si="207"/>
        <v>8445.380000000001</v>
      </c>
      <c r="AB1324" s="55">
        <f t="shared" si="208"/>
        <v>0.41000000003259629</v>
      </c>
      <c r="AC1324" s="55">
        <f t="shared" si="214"/>
        <v>391261.31128767127</v>
      </c>
    </row>
    <row r="1325" spans="1:29" ht="30">
      <c r="A1325" t="s">
        <v>304</v>
      </c>
      <c r="B1325" s="16" t="str">
        <f>INDEX(emprunts!C:C,MATCH($A1325,emprunts!A:A,0))</f>
        <v>Société Générale</v>
      </c>
      <c r="C1325" s="18">
        <f>INDEX(emprunts!M:M,MATCH($A1325,emprunts!$A:$A,0))</f>
        <v>40422</v>
      </c>
      <c r="D1325" s="18">
        <f>IF(INDEX(emprunts!O:O,MATCH($A1325,emprunts!$A:$A,0))="",INDEX(emprunts!N:N,MATCH($A1325,emprunts!$A:$A,0)),MIN(INDEX(emprunts!N:N,MATCH($A1325,emprunts!$A:$A,0)),INDEX(emprunts!O:O,MATCH($A1325,emprunts!$A:$A,0))))</f>
        <v>47818</v>
      </c>
      <c r="E1325" s="52">
        <f>INDEX(emprunts!I:I,MATCH($A1325,emprunts!$A:$A,0))</f>
        <v>20</v>
      </c>
      <c r="F1325" s="18" t="str">
        <f>INDEX(emprunts!P:P,MATCH($A1325,emprunts!$A:$A,0))</f>
        <v>Fixe</v>
      </c>
      <c r="G1325" s="126" t="str">
        <f>IF(LEFT(A1325,3)="vx_","vx",INDEX(Categorie,MATCH($A1325,emprunts!$A$2:$A$149,0)))</f>
        <v>Restr_sec</v>
      </c>
      <c r="H1325">
        <v>2018</v>
      </c>
      <c r="I1325">
        <f t="shared" si="215"/>
        <v>1</v>
      </c>
      <c r="N1325"/>
      <c r="O1325" s="58">
        <v>1273310</v>
      </c>
      <c r="P1325" s="4">
        <v>4.3799999999999999E-2</v>
      </c>
      <c r="Q1325" s="58">
        <v>58410.91</v>
      </c>
      <c r="R1325" s="58">
        <v>76186.87</v>
      </c>
      <c r="S1325" s="58"/>
      <c r="T1325" s="58">
        <v>4594.53</v>
      </c>
      <c r="U1325" s="58">
        <f t="shared" si="217"/>
        <v>134597.78</v>
      </c>
      <c r="V1325" s="14">
        <f t="shared" si="212"/>
        <v>0</v>
      </c>
      <c r="W1325" s="77"/>
      <c r="X1325" s="85">
        <f t="shared" si="216"/>
        <v>0</v>
      </c>
      <c r="Y1325" s="21">
        <f t="shared" si="213"/>
        <v>4.4452921755321076E-2</v>
      </c>
      <c r="AA1325" s="55">
        <f t="shared" si="207"/>
        <v>58136</v>
      </c>
      <c r="AB1325" s="55">
        <f t="shared" si="208"/>
        <v>-0.12999999988824129</v>
      </c>
      <c r="AC1325" s="55">
        <f t="shared" si="214"/>
        <v>1307810.5488767123</v>
      </c>
    </row>
    <row r="1326" spans="1:29" ht="30">
      <c r="A1326" t="s">
        <v>313</v>
      </c>
      <c r="B1326" s="16" t="str">
        <f>INDEX(emprunts!C:C,MATCH($A1326,emprunts!A:A,0))</f>
        <v>Société Générale</v>
      </c>
      <c r="C1326" s="18">
        <f>INDEX(emprunts!M:M,MATCH($A1326,emprunts!$A:$A,0))</f>
        <v>40513</v>
      </c>
      <c r="D1326" s="18">
        <f>IF(INDEX(emprunts!O:O,MATCH($A1326,emprunts!$A:$A,0))="",INDEX(emprunts!N:N,MATCH($A1326,emprunts!$A:$A,0)),MIN(INDEX(emprunts!N:N,MATCH($A1326,emprunts!$A:$A,0)),INDEX(emprunts!O:O,MATCH($A1326,emprunts!$A:$A,0))))</f>
        <v>47818</v>
      </c>
      <c r="E1326" s="52">
        <f>INDEX(emprunts!I:I,MATCH($A1326,emprunts!$A:$A,0))</f>
        <v>20</v>
      </c>
      <c r="F1326" s="18" t="str">
        <f>INDEX(emprunts!P:P,MATCH($A1326,emprunts!$A:$A,0))</f>
        <v>Fixe</v>
      </c>
      <c r="G1326" s="126" t="str">
        <f>IF(LEFT(A1326,3)="vx_","vx",INDEX(Categorie,MATCH($A1326,emprunts!$A$2:$A$149,0)))</f>
        <v>Restr_sec</v>
      </c>
      <c r="H1326">
        <v>2018</v>
      </c>
      <c r="I1326">
        <f t="shared" si="215"/>
        <v>1</v>
      </c>
      <c r="N1326"/>
      <c r="O1326" s="58">
        <v>1829367</v>
      </c>
      <c r="P1326" s="4">
        <v>4.3799999999999999E-2</v>
      </c>
      <c r="Q1326" s="58">
        <v>85117.09</v>
      </c>
      <c r="R1326" s="58">
        <v>109457.84</v>
      </c>
      <c r="S1326" s="58"/>
      <c r="T1326" s="58">
        <v>6600.97</v>
      </c>
      <c r="U1326" s="58">
        <f t="shared" ref="U1326:U1327" si="218">SUM(Q1326:S1326)</f>
        <v>194574.93</v>
      </c>
      <c r="V1326" s="14">
        <f t="shared" si="212"/>
        <v>0</v>
      </c>
      <c r="W1326" s="77"/>
      <c r="X1326" s="85">
        <f t="shared" si="216"/>
        <v>0</v>
      </c>
      <c r="Y1326" s="21">
        <f t="shared" si="213"/>
        <v>4.5090535057189726E-2</v>
      </c>
      <c r="AA1326" s="55">
        <f t="shared" si="207"/>
        <v>84722.14</v>
      </c>
      <c r="AB1326" s="55">
        <f t="shared" si="208"/>
        <v>-0.15999999991618097</v>
      </c>
      <c r="AC1326" s="55">
        <f t="shared" si="214"/>
        <v>1878934.0133698629</v>
      </c>
    </row>
    <row r="1327" spans="1:29">
      <c r="A1327" t="s">
        <v>314</v>
      </c>
      <c r="B1327" s="16" t="str">
        <f>INDEX(emprunts!C:C,MATCH($A1327,emprunts!A:A,0))</f>
        <v>Société Générale</v>
      </c>
      <c r="C1327" s="18">
        <f>INDEX(emprunts!M:M,MATCH($A1327,emprunts!$A:$A,0))</f>
        <v>40530</v>
      </c>
      <c r="D1327" s="18">
        <f>IF(INDEX(emprunts!O:O,MATCH($A1327,emprunts!$A:$A,0))="",INDEX(emprunts!N:N,MATCH($A1327,emprunts!$A:$A,0)),MIN(INDEX(emprunts!N:N,MATCH($A1327,emprunts!$A:$A,0)),INDEX(emprunts!O:O,MATCH($A1327,emprunts!$A:$A,0))))</f>
        <v>46112</v>
      </c>
      <c r="E1327" s="52">
        <f>INDEX(emprunts!I:I,MATCH($A1327,emprunts!$A:$A,0))</f>
        <v>15</v>
      </c>
      <c r="F1327" s="18" t="str">
        <f>INDEX(emprunts!P:P,MATCH($A1327,emprunts!$A:$A,0))</f>
        <v>Variable</v>
      </c>
      <c r="G1327" s="126" t="str">
        <f>IF(LEFT(A1327,3)="vx_","vx",INDEX(Categorie,MATCH($A1327,emprunts!$A$2:$A$149,0)))</f>
        <v>Non_st</v>
      </c>
      <c r="H1327">
        <v>2018</v>
      </c>
      <c r="I1327">
        <f t="shared" si="215"/>
        <v>1</v>
      </c>
      <c r="N1327"/>
      <c r="O1327" s="58">
        <v>4614552</v>
      </c>
      <c r="P1327" s="4">
        <v>5.8999999999999999E-3</v>
      </c>
      <c r="Q1327" s="58">
        <v>28784.7</v>
      </c>
      <c r="R1327" s="58">
        <v>514438.23</v>
      </c>
      <c r="S1327" s="58"/>
      <c r="T1327" s="58">
        <v>0</v>
      </c>
      <c r="U1327" s="58">
        <f t="shared" si="218"/>
        <v>543222.92999999993</v>
      </c>
      <c r="V1327" s="14">
        <f t="shared" si="212"/>
        <v>0</v>
      </c>
      <c r="W1327" s="77"/>
      <c r="X1327" s="85">
        <f t="shared" si="216"/>
        <v>0</v>
      </c>
      <c r="Y1327" s="21">
        <f t="shared" si="213"/>
        <v>5.9246992859092566E-3</v>
      </c>
      <c r="AA1327" s="55">
        <f t="shared" si="207"/>
        <v>28784.7</v>
      </c>
      <c r="AB1327" s="55">
        <f t="shared" si="208"/>
        <v>0.23000000044703484</v>
      </c>
      <c r="AC1327" s="55">
        <f t="shared" si="214"/>
        <v>4858423.7968767127</v>
      </c>
    </row>
    <row r="1328" spans="1:29">
      <c r="A1328" s="1" t="s">
        <v>489</v>
      </c>
      <c r="B1328" s="16" t="str">
        <f>INDEX(emprunts!C:C,MATCH($A1328,emprunts!A:A,0))</f>
        <v>Dexia CL</v>
      </c>
      <c r="C1328" s="18">
        <f>INDEX(emprunts!M:M,MATCH($A1328,emprunts!$A:$A,0))</f>
        <v>40725</v>
      </c>
      <c r="D1328" s="18">
        <f>IF(INDEX(emprunts!O:O,MATCH($A1328,emprunts!$A:$A,0))="",INDEX(emprunts!N:N,MATCH($A1328,emprunts!$A:$A,0)),MIN(INDEX(emprunts!N:N,MATCH($A1328,emprunts!$A:$A,0)),INDEX(emprunts!O:O,MATCH($A1328,emprunts!$A:$A,0))))</f>
        <v>49796</v>
      </c>
      <c r="E1328" s="52">
        <f>INDEX(emprunts!I:I,MATCH($A1328,emprunts!$A:$A,0))</f>
        <v>25</v>
      </c>
      <c r="F1328" s="18" t="str">
        <f>INDEX(emprunts!P:P,MATCH($A1328,emprunts!$A:$A,0))</f>
        <v>Barrière avec multiplicateur</v>
      </c>
      <c r="G1328" s="126" t="str">
        <f>IF(LEFT(A1328,3)="vx_","vx",INDEX(Categorie,MATCH($A1328,emprunts!$A$2:$A$149,0)))</f>
        <v>Struct</v>
      </c>
      <c r="H1328">
        <v>2018</v>
      </c>
      <c r="I1328">
        <f t="shared" si="215"/>
        <v>1</v>
      </c>
      <c r="N1328"/>
      <c r="O1328" s="58">
        <v>12066450</v>
      </c>
      <c r="P1328" s="4">
        <v>4.0300000000000002E-2</v>
      </c>
      <c r="Q1328" s="58">
        <v>504663.39</v>
      </c>
      <c r="R1328" s="58">
        <v>408492.12</v>
      </c>
      <c r="S1328" s="58"/>
      <c r="T1328" s="58">
        <v>326317.03999999998</v>
      </c>
      <c r="U1328" s="58">
        <f>SUM(Q1328:S1328)</f>
        <v>913155.51</v>
      </c>
      <c r="V1328" s="14">
        <f t="shared" si="212"/>
        <v>0</v>
      </c>
      <c r="W1328" s="77"/>
      <c r="X1328" s="85">
        <f t="shared" si="216"/>
        <v>0</v>
      </c>
      <c r="Y1328" s="21">
        <f t="shared" si="213"/>
        <v>4.0337768665949778E-2</v>
      </c>
      <c r="AA1328" s="55">
        <f t="shared" si="207"/>
        <v>493616.40999999992</v>
      </c>
      <c r="AB1328" s="55">
        <f t="shared" si="208"/>
        <v>0.11999999918043613</v>
      </c>
      <c r="AC1328" s="55">
        <f t="shared" si="214"/>
        <v>12237077.714630138</v>
      </c>
    </row>
    <row r="1329" spans="1:29">
      <c r="A1329" t="s">
        <v>324</v>
      </c>
      <c r="B1329" s="16" t="str">
        <f>INDEX(emprunts!C:C,MATCH($A1329,emprunts!A:A,0))</f>
        <v>Caisse d'Épargne</v>
      </c>
      <c r="C1329" s="18">
        <f>INDEX(emprunts!M:M,MATCH($A1329,emprunts!$A:$A,0))</f>
        <v>40732</v>
      </c>
      <c r="D1329" s="18">
        <f>IF(INDEX(emprunts!O:O,MATCH($A1329,emprunts!$A:$A,0))="",INDEX(emprunts!N:N,MATCH($A1329,emprunts!$A:$A,0)),MIN(INDEX(emprunts!N:N,MATCH($A1329,emprunts!$A:$A,0)),INDEX(emprunts!O:O,MATCH($A1329,emprunts!$A:$A,0))))</f>
        <v>46536</v>
      </c>
      <c r="E1329" s="52">
        <f>INDEX(emprunts!I:I,MATCH($A1329,emprunts!$A:$A,0))</f>
        <v>15</v>
      </c>
      <c r="F1329" s="18" t="str">
        <f>INDEX(emprunts!P:P,MATCH($A1329,emprunts!$A:$A,0))</f>
        <v>Variable</v>
      </c>
      <c r="G1329" s="126" t="str">
        <f>IF(LEFT(A1329,3)="vx_","vx",INDEX(Categorie,MATCH($A1329,emprunts!$A$2:$A$149,0)))</f>
        <v>Non_st</v>
      </c>
      <c r="H1329">
        <v>2018</v>
      </c>
      <c r="I1329">
        <f t="shared" si="215"/>
        <v>1</v>
      </c>
      <c r="N1329"/>
      <c r="O1329" s="58">
        <v>3278307</v>
      </c>
      <c r="P1329" s="4">
        <v>9.1999999999999998E-3</v>
      </c>
      <c r="Q1329" s="58">
        <v>31994.400000000001</v>
      </c>
      <c r="R1329" s="58">
        <v>302375.34000000003</v>
      </c>
      <c r="S1329" s="58"/>
      <c r="T1329" s="58">
        <v>2672.94</v>
      </c>
      <c r="U1329" s="58">
        <f t="shared" ref="U1329:U1331" si="219">SUM(Q1329:S1329)</f>
        <v>334369.74000000005</v>
      </c>
      <c r="V1329" s="14">
        <f t="shared" si="212"/>
        <v>0</v>
      </c>
      <c r="W1329" s="77"/>
      <c r="X1329" s="85">
        <f t="shared" si="216"/>
        <v>0</v>
      </c>
      <c r="Y1329" s="21">
        <f t="shared" ref="Y1329:Y1367" si="220">IF(AND(AA1329&gt;0,YEAR(C1329)&lt;=H1329),AA1329/AC1329,"")</f>
        <v>9.2735537505123644E-3</v>
      </c>
      <c r="AA1329" s="55">
        <f t="shared" si="207"/>
        <v>31716.470000000005</v>
      </c>
      <c r="AB1329" s="55">
        <f t="shared" si="208"/>
        <v>0.33999999985098839</v>
      </c>
      <c r="AC1329" s="55">
        <f t="shared" si="214"/>
        <v>3420098.794191781</v>
      </c>
    </row>
    <row r="1330" spans="1:29">
      <c r="A1330" t="s">
        <v>328</v>
      </c>
      <c r="B1330" s="16" t="str">
        <f>INDEX(emprunts!C:C,MATCH($A1330,emprunts!A:A,0))</f>
        <v>Caisse d'Épargne</v>
      </c>
      <c r="C1330" s="18">
        <f>INDEX(emprunts!M:M,MATCH($A1330,emprunts!$A:$A,0))</f>
        <v>40732</v>
      </c>
      <c r="D1330" s="18">
        <f>IF(INDEX(emprunts!O:O,MATCH($A1330,emprunts!$A:$A,0))="",INDEX(emprunts!N:N,MATCH($A1330,emprunts!$A:$A,0)),MIN(INDEX(emprunts!N:N,MATCH($A1330,emprunts!$A:$A,0)),INDEX(emprunts!O:O,MATCH($A1330,emprunts!$A:$A,0))))</f>
        <v>46536</v>
      </c>
      <c r="E1330" s="52">
        <f>INDEX(emprunts!I:I,MATCH($A1330,emprunts!$A:$A,0))</f>
        <v>15</v>
      </c>
      <c r="F1330" s="18" t="str">
        <f>INDEX(emprunts!P:P,MATCH($A1330,emprunts!$A:$A,0))</f>
        <v>Variable</v>
      </c>
      <c r="G1330" s="126" t="str">
        <f>IF(LEFT(A1330,3)="vx_","vx",INDEX(Categorie,MATCH($A1330,emprunts!$A$2:$A$149,0)))</f>
        <v>Non_st</v>
      </c>
      <c r="H1330">
        <v>2018</v>
      </c>
      <c r="I1330">
        <f t="shared" si="215"/>
        <v>1</v>
      </c>
      <c r="N1330"/>
      <c r="O1330" s="58">
        <v>3278307</v>
      </c>
      <c r="P1330" s="4">
        <v>6.1999999999999998E-3</v>
      </c>
      <c r="Q1330" s="58">
        <v>21590.55</v>
      </c>
      <c r="R1330" s="58">
        <v>302375.34000000003</v>
      </c>
      <c r="S1330" s="58"/>
      <c r="T1330" s="58">
        <v>1810.7</v>
      </c>
      <c r="U1330" s="58">
        <f t="shared" si="219"/>
        <v>323965.89</v>
      </c>
      <c r="V1330" s="14">
        <f t="shared" si="212"/>
        <v>0</v>
      </c>
      <c r="W1330" s="77"/>
      <c r="X1330" s="85">
        <f t="shared" si="216"/>
        <v>0</v>
      </c>
      <c r="Y1330" s="21">
        <f t="shared" si="220"/>
        <v>6.2548310114109648E-3</v>
      </c>
      <c r="AA1330" s="55">
        <f t="shared" si="207"/>
        <v>21392.14</v>
      </c>
      <c r="AB1330" s="55">
        <f t="shared" si="208"/>
        <v>0.33999999985098839</v>
      </c>
      <c r="AC1330" s="55">
        <f t="shared" si="214"/>
        <v>3420098.794191781</v>
      </c>
    </row>
    <row r="1331" spans="1:29">
      <c r="A1331" t="s">
        <v>331</v>
      </c>
      <c r="B1331" s="16" t="str">
        <f>INDEX(emprunts!C:C,MATCH($A1331,emprunts!A:A,0))</f>
        <v>Dexia CL</v>
      </c>
      <c r="C1331" s="18">
        <f>INDEX(emprunts!M:M,MATCH($A1331,emprunts!$A:$A,0))</f>
        <v>40848</v>
      </c>
      <c r="D1331" s="18">
        <f>IF(INDEX(emprunts!O:O,MATCH($A1331,emprunts!$A:$A,0))="",INDEX(emprunts!N:N,MATCH($A1331,emprunts!$A:$A,0)),MIN(INDEX(emprunts!N:N,MATCH($A1331,emprunts!$A:$A,0)),INDEX(emprunts!O:O,MATCH($A1331,emprunts!$A:$A,0))))</f>
        <v>43101</v>
      </c>
      <c r="E1331" s="52">
        <f>INDEX(emprunts!I:I,MATCH($A1331,emprunts!$A:$A,0))</f>
        <v>21.17</v>
      </c>
      <c r="F1331" s="18" t="str">
        <f>INDEX(emprunts!P:P,MATCH($A1331,emprunts!$A:$A,0))</f>
        <v>Barrière avec multiplicateur</v>
      </c>
      <c r="G1331" s="126" t="str">
        <f>IF(LEFT(A1331,3)="vx_","vx",INDEX(Categorie,MATCH($A1331,emprunts!$A$2:$A$149,0)))</f>
        <v>Struct</v>
      </c>
      <c r="H1331">
        <v>2018</v>
      </c>
      <c r="I1331">
        <f t="shared" si="215"/>
        <v>1</v>
      </c>
      <c r="N1331"/>
      <c r="O1331" s="58">
        <v>0</v>
      </c>
      <c r="Q1331" s="58">
        <v>256777.94</v>
      </c>
      <c r="R1331" s="58">
        <v>568569.47</v>
      </c>
      <c r="S1331" s="58"/>
      <c r="T1331" s="58">
        <v>0</v>
      </c>
      <c r="U1331" s="58">
        <f t="shared" si="219"/>
        <v>825347.40999999992</v>
      </c>
      <c r="V1331" s="14">
        <f t="shared" si="212"/>
        <v>0</v>
      </c>
      <c r="W1331" s="77"/>
      <c r="X1331" s="85">
        <f t="shared" si="216"/>
        <v>6667000</v>
      </c>
      <c r="Y1331" s="21" t="e">
        <f t="shared" si="220"/>
        <v>#DIV/0!</v>
      </c>
      <c r="AA1331" s="55">
        <f t="shared" si="207"/>
        <v>703.5</v>
      </c>
      <c r="AB1331" s="55">
        <f t="shared" si="208"/>
        <v>-442.53000000026077</v>
      </c>
      <c r="AC1331" s="55">
        <f t="shared" si="214"/>
        <v>0</v>
      </c>
    </row>
    <row r="1332" spans="1:29">
      <c r="A1332" t="s">
        <v>338</v>
      </c>
      <c r="B1332" s="16" t="str">
        <f>INDEX(emprunts!C:C,MATCH($A1332,emprunts!A:A,0))</f>
        <v>Dexia CL</v>
      </c>
      <c r="C1332" s="18">
        <f>INDEX(emprunts!M:M,MATCH($A1332,emprunts!$A:$A,0))</f>
        <v>40878</v>
      </c>
      <c r="D1332" s="18">
        <f>IF(INDEX(emprunts!O:O,MATCH($A1332,emprunts!$A:$A,0))="",INDEX(emprunts!N:N,MATCH($A1332,emprunts!$A:$A,0)),MIN(INDEX(emprunts!N:N,MATCH($A1332,emprunts!$A:$A,0)),INDEX(emprunts!O:O,MATCH($A1332,emprunts!$A:$A,0))))</f>
        <v>49644</v>
      </c>
      <c r="E1332" s="52">
        <f>INDEX(emprunts!I:I,MATCH($A1332,emprunts!$A:$A,0))</f>
        <v>24</v>
      </c>
      <c r="F1332" s="18" t="str">
        <f>INDEX(emprunts!P:P,MATCH($A1332,emprunts!$A:$A,0))</f>
        <v>Variable</v>
      </c>
      <c r="G1332" s="126" t="str">
        <f>IF(LEFT(A1332,3)="vx_","vx",INDEX(Categorie,MATCH($A1332,emprunts!$A$2:$A$149,0)))</f>
        <v>Non_st</v>
      </c>
      <c r="H1332">
        <v>2018</v>
      </c>
      <c r="I1332">
        <f t="shared" si="215"/>
        <v>1</v>
      </c>
      <c r="N1332"/>
      <c r="O1332" s="58">
        <v>3549607</v>
      </c>
      <c r="P1332" s="4">
        <v>8.0000000000000004E-4</v>
      </c>
      <c r="Q1332" s="58">
        <v>2814.87</v>
      </c>
      <c r="R1332" s="58">
        <v>188487.96</v>
      </c>
      <c r="S1332" s="58"/>
      <c r="T1332" s="58">
        <v>248.47</v>
      </c>
      <c r="U1332" s="58">
        <f t="shared" ref="U1332:U1333" si="221">SUM(Q1332:S1332)</f>
        <v>191302.83</v>
      </c>
      <c r="V1332" s="14">
        <f t="shared" ref="V1332:V1367" si="222">IF(U1332="","",U1332-SUM(Q1332:S1332))</f>
        <v>0</v>
      </c>
      <c r="W1332" s="77"/>
      <c r="X1332" s="85">
        <f t="shared" si="216"/>
        <v>0</v>
      </c>
      <c r="Y1332" s="21">
        <f t="shared" si="220"/>
        <v>7.8213356555559776E-4</v>
      </c>
      <c r="AA1332" s="55">
        <f t="shared" si="207"/>
        <v>2842.1699999999996</v>
      </c>
      <c r="AB1332" s="55">
        <f t="shared" si="208"/>
        <v>-4.0000000037252903E-2</v>
      </c>
      <c r="AC1332" s="55">
        <f t="shared" si="214"/>
        <v>3633867.8266301369</v>
      </c>
    </row>
    <row r="1333" spans="1:29">
      <c r="A1333" t="s">
        <v>339</v>
      </c>
      <c r="B1333" s="16" t="str">
        <f>INDEX(emprunts!C:C,MATCH($A1333,emprunts!A:A,0))</f>
        <v>Caisse d'Épargne</v>
      </c>
      <c r="C1333" s="18">
        <f>INDEX(emprunts!M:M,MATCH($A1333,emprunts!$A:$A,0))</f>
        <v>40913</v>
      </c>
      <c r="D1333" s="18">
        <f>IF(INDEX(emprunts!O:O,MATCH($A1333,emprunts!$A:$A,0))="",INDEX(emprunts!N:N,MATCH($A1333,emprunts!$A:$A,0)),MIN(INDEX(emprunts!N:N,MATCH($A1333,emprunts!$A:$A,0)),INDEX(emprunts!O:O,MATCH($A1333,emprunts!$A:$A,0))))</f>
        <v>48218</v>
      </c>
      <c r="E1333" s="52">
        <f>INDEX(emprunts!I:I,MATCH($A1333,emprunts!$A:$A,0))</f>
        <v>20</v>
      </c>
      <c r="F1333" s="18" t="str">
        <f>INDEX(emprunts!P:P,MATCH($A1333,emprunts!$A:$A,0))</f>
        <v>Barrière</v>
      </c>
      <c r="G1333" s="126" t="str">
        <f>IF(LEFT(A1333,3)="vx_","vx",INDEX(Categorie,MATCH($A1333,emprunts!$A$2:$A$149,0)))</f>
        <v>Struct</v>
      </c>
      <c r="H1333">
        <v>2018</v>
      </c>
      <c r="I1333">
        <f t="shared" si="215"/>
        <v>1</v>
      </c>
      <c r="N1333"/>
      <c r="O1333" s="58">
        <v>4994467</v>
      </c>
      <c r="P1333" s="4">
        <v>4.9000000000000002E-2</v>
      </c>
      <c r="Q1333" s="58">
        <v>259019.7</v>
      </c>
      <c r="R1333" s="58">
        <v>272986.13</v>
      </c>
      <c r="S1333" s="58"/>
      <c r="T1333" s="58">
        <v>242231.66</v>
      </c>
      <c r="U1333" s="58">
        <f t="shared" si="221"/>
        <v>532005.83000000007</v>
      </c>
      <c r="V1333" s="14">
        <f t="shared" si="222"/>
        <v>0</v>
      </c>
      <c r="W1333" s="77"/>
      <c r="X1333" s="85">
        <f t="shared" si="216"/>
        <v>0</v>
      </c>
      <c r="Y1333" s="21">
        <f t="shared" si="220"/>
        <v>4.803294048840924E-2</v>
      </c>
      <c r="AA1333" s="55">
        <f t="shared" si="207"/>
        <v>245779.87999999998</v>
      </c>
      <c r="AB1333" s="55">
        <f t="shared" si="208"/>
        <v>0.12999999988824129</v>
      </c>
      <c r="AC1333" s="55">
        <f t="shared" si="214"/>
        <v>5116902.6401643837</v>
      </c>
    </row>
    <row r="1334" spans="1:29">
      <c r="A1334" t="s">
        <v>342</v>
      </c>
      <c r="B1334" s="16" t="str">
        <f>INDEX(emprunts!C:C,MATCH($A1334,emprunts!A:A,0))</f>
        <v>CDC</v>
      </c>
      <c r="C1334" s="18">
        <f>INDEX(emprunts!M:M,MATCH($A1334,emprunts!$A:$A,0))</f>
        <v>40991</v>
      </c>
      <c r="D1334" s="18">
        <f>IF(INDEX(emprunts!O:O,MATCH($A1334,emprunts!$A:$A,0))="",INDEX(emprunts!N:N,MATCH($A1334,emprunts!$A:$A,0)),MIN(INDEX(emprunts!N:N,MATCH($A1334,emprunts!$A:$A,0)),INDEX(emprunts!O:O,MATCH($A1334,emprunts!$A:$A,0))))</f>
        <v>46661</v>
      </c>
      <c r="E1334" s="52">
        <f>INDEX(emprunts!I:I,MATCH($A1334,emprunts!$A:$A,0))</f>
        <v>15.25</v>
      </c>
      <c r="F1334" s="18" t="str">
        <f>INDEX(emprunts!P:P,MATCH($A1334,emprunts!$A:$A,0))</f>
        <v>Variable</v>
      </c>
      <c r="G1334" s="126" t="str">
        <f>IF(LEFT(A1334,3)="vx_","vx",INDEX(Categorie,MATCH($A1334,emprunts!$A$2:$A$149,0)))</f>
        <v>Non_st</v>
      </c>
      <c r="H1334">
        <v>2018</v>
      </c>
      <c r="I1334">
        <f t="shared" si="215"/>
        <v>1</v>
      </c>
      <c r="N1334"/>
      <c r="O1334" s="58"/>
      <c r="Q1334" s="58"/>
      <c r="R1334" s="58"/>
      <c r="S1334" s="58"/>
      <c r="T1334" s="58"/>
      <c r="U1334" s="58"/>
      <c r="V1334" s="14" t="str">
        <f t="shared" si="222"/>
        <v/>
      </c>
      <c r="W1334" s="77"/>
      <c r="X1334" s="85">
        <f t="shared" si="216"/>
        <v>0</v>
      </c>
      <c r="Y1334" s="21" t="str">
        <f t="shared" si="220"/>
        <v/>
      </c>
      <c r="AA1334" s="55">
        <f t="shared" si="207"/>
        <v>0</v>
      </c>
      <c r="AB1334" s="55">
        <f t="shared" si="208"/>
        <v>0</v>
      </c>
      <c r="AC1334" s="55">
        <f t="shared" si="214"/>
        <v>0</v>
      </c>
    </row>
    <row r="1335" spans="1:29">
      <c r="A1335" s="1" t="s">
        <v>531</v>
      </c>
      <c r="B1335" s="16" t="str">
        <f>INDEX(emprunts!C:C,MATCH($A1335,emprunts!A:A,0))</f>
        <v>Dexia CL</v>
      </c>
      <c r="C1335" s="18">
        <f>INDEX(emprunts!M:M,MATCH($A1335,emprunts!$A:$A,0))</f>
        <v>41030</v>
      </c>
      <c r="D1335" s="18">
        <f>IF(INDEX(emprunts!O:O,MATCH($A1335,emprunts!$A:$A,0))="",INDEX(emprunts!N:N,MATCH($A1335,emprunts!$A:$A,0)),MIN(INDEX(emprunts!N:N,MATCH($A1335,emprunts!$A:$A,0)),INDEX(emprunts!O:O,MATCH($A1335,emprunts!$A:$A,0))))</f>
        <v>48122</v>
      </c>
      <c r="E1335" s="52">
        <f>INDEX(emprunts!I:I,MATCH($A1335,emprunts!$A:$A,0))</f>
        <v>19.420000000000002</v>
      </c>
      <c r="F1335" s="18" t="str">
        <f>INDEX(emprunts!P:P,MATCH($A1335,emprunts!$A:$A,0))</f>
        <v>Barrière avec multiplicateur</v>
      </c>
      <c r="G1335" s="126" t="str">
        <f>IF(LEFT(A1335,3)="vx_","vx",INDEX(Categorie,MATCH($A1335,emprunts!$A$2:$A$149,0)))</f>
        <v>Struct</v>
      </c>
      <c r="H1335">
        <v>2018</v>
      </c>
      <c r="I1335">
        <f t="shared" si="215"/>
        <v>1</v>
      </c>
      <c r="N1335"/>
      <c r="O1335" s="58">
        <v>11927924</v>
      </c>
      <c r="P1335" s="4">
        <v>1.6E-2</v>
      </c>
      <c r="Q1335" s="58">
        <v>200460.45</v>
      </c>
      <c r="R1335" s="58">
        <v>641333.37</v>
      </c>
      <c r="S1335" s="58"/>
      <c r="T1335" s="58">
        <v>49175.31</v>
      </c>
      <c r="U1335" s="58">
        <f>SUM(Q1335:S1335)</f>
        <v>841793.82000000007</v>
      </c>
      <c r="V1335" s="14">
        <f t="shared" si="222"/>
        <v>0</v>
      </c>
      <c r="W1335" s="77"/>
      <c r="X1335" s="85">
        <f t="shared" si="216"/>
        <v>0</v>
      </c>
      <c r="Y1335" s="21">
        <f t="shared" si="220"/>
        <v>1.5964284464862987E-2</v>
      </c>
      <c r="AA1335" s="55">
        <f t="shared" si="207"/>
        <v>195004.26</v>
      </c>
      <c r="AB1335" s="55">
        <f t="shared" si="208"/>
        <v>0.36999999918043613</v>
      </c>
      <c r="AC1335" s="55">
        <f t="shared" si="214"/>
        <v>12215032.902301371</v>
      </c>
    </row>
    <row r="1336" spans="1:29">
      <c r="A1336" t="s">
        <v>350</v>
      </c>
      <c r="B1336" s="16" t="str">
        <f>INDEX(emprunts!C:C,MATCH($A1336,emprunts!A:A,0))</f>
        <v>Dexia CL</v>
      </c>
      <c r="C1336" s="18">
        <f>INDEX(emprunts!M:M,MATCH($A1336,emprunts!$A:$A,0))</f>
        <v>41030</v>
      </c>
      <c r="D1336" s="18">
        <f>IF(INDEX(emprunts!O:O,MATCH($A1336,emprunts!$A:$A,0))="",INDEX(emprunts!N:N,MATCH($A1336,emprunts!$A:$A,0)),MIN(INDEX(emprunts!N:N,MATCH($A1336,emprunts!$A:$A,0)),INDEX(emprunts!O:O,MATCH($A1336,emprunts!$A:$A,0))))</f>
        <v>41426</v>
      </c>
      <c r="E1336" s="52">
        <f>INDEX(emprunts!I:I,MATCH($A1336,emprunts!$A:$A,0))</f>
        <v>15</v>
      </c>
      <c r="F1336" s="18" t="str">
        <f>INDEX(emprunts!P:P,MATCH($A1336,emprunts!$A:$A,0))</f>
        <v>Variable</v>
      </c>
      <c r="G1336" s="126" t="str">
        <f>IF(LEFT(A1336,3)="vx_","vx",INDEX(Categorie,MATCH($A1336,emprunts!$A$2:$A$149,0)))</f>
        <v>Non_st</v>
      </c>
      <c r="H1336">
        <v>2018</v>
      </c>
      <c r="I1336">
        <f t="shared" si="215"/>
        <v>1</v>
      </c>
      <c r="N1336"/>
      <c r="O1336"/>
      <c r="Q1336" s="58"/>
      <c r="R1336" s="58"/>
      <c r="S1336" s="58"/>
      <c r="T1336" s="58"/>
      <c r="U1336" s="58"/>
      <c r="V1336" s="14" t="str">
        <f t="shared" si="222"/>
        <v/>
      </c>
      <c r="W1336" s="77"/>
      <c r="X1336" s="85">
        <f t="shared" si="216"/>
        <v>0</v>
      </c>
      <c r="Y1336" s="21" t="str">
        <f t="shared" si="220"/>
        <v/>
      </c>
      <c r="AA1336" s="55">
        <f t="shared" si="207"/>
        <v>0</v>
      </c>
      <c r="AB1336" s="55">
        <f t="shared" si="208"/>
        <v>0</v>
      </c>
      <c r="AC1336" s="55">
        <f t="shared" si="214"/>
        <v>0</v>
      </c>
    </row>
    <row r="1337" spans="1:29">
      <c r="A1337" t="s">
        <v>352</v>
      </c>
      <c r="B1337" s="16" t="str">
        <f>INDEX(emprunts!C:C,MATCH($A1337,emprunts!A:A,0))</f>
        <v>Caisse d'Épargne</v>
      </c>
      <c r="C1337" s="18">
        <f>INDEX(emprunts!M:M,MATCH($A1337,emprunts!$A:$A,0))</f>
        <v>41167</v>
      </c>
      <c r="D1337" s="18">
        <f>IF(INDEX(emprunts!O:O,MATCH($A1337,emprunts!$A:$A,0))="",INDEX(emprunts!N:N,MATCH($A1337,emprunts!$A:$A,0)),MIN(INDEX(emprunts!N:N,MATCH($A1337,emprunts!$A:$A,0)),INDEX(emprunts!O:O,MATCH($A1337,emprunts!$A:$A,0))))</f>
        <v>48785</v>
      </c>
      <c r="E1337" s="52">
        <f>INDEX(emprunts!I:I,MATCH($A1337,emprunts!$A:$A,0))</f>
        <v>20.8</v>
      </c>
      <c r="F1337" s="18" t="str">
        <f>INDEX(emprunts!P:P,MATCH($A1337,emprunts!$A:$A,0))</f>
        <v>Fixe</v>
      </c>
      <c r="G1337" s="126" t="str">
        <f>IF(LEFT(A1337,3)="vx_","vx",INDEX(Categorie,MATCH($A1337,emprunts!$A$2:$A$149,0)))</f>
        <v>Non_st</v>
      </c>
      <c r="H1337">
        <v>2018</v>
      </c>
      <c r="I1337">
        <f t="shared" si="215"/>
        <v>1</v>
      </c>
      <c r="N1337"/>
      <c r="O1337" s="58">
        <v>16496440</v>
      </c>
      <c r="P1337" s="4">
        <v>4.5100000000000001E-2</v>
      </c>
      <c r="Q1337" s="58">
        <v>766651.98</v>
      </c>
      <c r="R1337" s="58">
        <v>739642.52</v>
      </c>
      <c r="S1337" s="58"/>
      <c r="T1337" s="58">
        <v>136870.74</v>
      </c>
      <c r="U1337" s="58">
        <f t="shared" ref="U1337:U1367" si="223">SUM(Q1337:S1337)</f>
        <v>1506294.5</v>
      </c>
      <c r="V1337" s="14">
        <f t="shared" si="222"/>
        <v>0</v>
      </c>
      <c r="W1337" s="77"/>
      <c r="X1337" s="85">
        <f t="shared" si="216"/>
        <v>0</v>
      </c>
      <c r="Y1337" s="21">
        <f t="shared" si="220"/>
        <v>4.5214792160174912E-2</v>
      </c>
      <c r="AA1337" s="55">
        <f t="shared" si="207"/>
        <v>760515.16999999993</v>
      </c>
      <c r="AB1337" s="55">
        <f t="shared" si="208"/>
        <v>-0.48000000044703484</v>
      </c>
      <c r="AC1337" s="55">
        <f t="shared" si="214"/>
        <v>16820052.325041097</v>
      </c>
    </row>
    <row r="1338" spans="1:29" ht="30">
      <c r="A1338" s="1" t="s">
        <v>495</v>
      </c>
      <c r="B1338" s="16" t="str">
        <f>INDEX(emprunts!C:C,MATCH($A1338,emprunts!A:A,0))</f>
        <v>Dexia CL</v>
      </c>
      <c r="C1338" s="18">
        <f>INDEX(emprunts!M:M,MATCH($A1338,emprunts!$A:$A,0))</f>
        <v>41244</v>
      </c>
      <c r="D1338" s="18">
        <f>IF(INDEX(emprunts!O:O,MATCH($A1338,emprunts!$A:$A,0))="",INDEX(emprunts!N:N,MATCH($A1338,emprunts!$A:$A,0)),MIN(INDEX(emprunts!N:N,MATCH($A1338,emprunts!$A:$A,0)),INDEX(emprunts!O:O,MATCH($A1338,emprunts!$A:$A,0))))</f>
        <v>48914</v>
      </c>
      <c r="E1338" s="52">
        <f>INDEX(emprunts!I:I,MATCH($A1338,emprunts!$A:$A,0))</f>
        <v>21</v>
      </c>
      <c r="F1338" s="18" t="str">
        <f>INDEX(emprunts!P:P,MATCH($A1338,emprunts!$A:$A,0))</f>
        <v>Fixe</v>
      </c>
      <c r="G1338" s="126" t="str">
        <f>IF(LEFT(A1338,3)="vx_","vx",INDEX(Categorie,MATCH($A1338,emprunts!$A$2:$A$149,0)))</f>
        <v>Restr_sec</v>
      </c>
      <c r="H1338">
        <v>2018</v>
      </c>
      <c r="I1338">
        <f t="shared" si="215"/>
        <v>1</v>
      </c>
      <c r="N1338"/>
      <c r="O1338" s="58">
        <v>4265553</v>
      </c>
      <c r="P1338" s="4">
        <v>5.21E-2</v>
      </c>
      <c r="Q1338" s="58">
        <v>258266.21</v>
      </c>
      <c r="R1338" s="58">
        <v>680628.04</v>
      </c>
      <c r="S1338" s="58"/>
      <c r="T1338" s="58">
        <v>18306.330000000002</v>
      </c>
      <c r="U1338" s="58">
        <f t="shared" si="223"/>
        <v>938894.25</v>
      </c>
      <c r="V1338" s="14">
        <f t="shared" si="222"/>
        <v>0</v>
      </c>
      <c r="W1338" s="77"/>
      <c r="X1338" s="85">
        <f t="shared" si="216"/>
        <v>0</v>
      </c>
      <c r="Y1338" s="21">
        <f t="shared" si="220"/>
        <v>5.5591417779850001E-2</v>
      </c>
      <c r="AA1338" s="55">
        <f t="shared" si="207"/>
        <v>255345.18</v>
      </c>
      <c r="AB1338" s="55">
        <f t="shared" si="208"/>
        <v>4.0000000037252903E-2</v>
      </c>
      <c r="AC1338" s="55">
        <f t="shared" si="214"/>
        <v>4593248.2062465753</v>
      </c>
    </row>
    <row r="1339" spans="1:29" ht="30">
      <c r="A1339" s="1" t="s">
        <v>506</v>
      </c>
      <c r="B1339" s="16" t="str">
        <f>INDEX(emprunts!C:C,MATCH($A1339,emprunts!A:A,0))</f>
        <v>Caisse d'Épargne</v>
      </c>
      <c r="C1339" s="18">
        <f>INDEX(emprunts!M:M,MATCH($A1339,emprunts!$A:$A,0))</f>
        <v>41330</v>
      </c>
      <c r="D1339" s="18">
        <f>IF(INDEX(emprunts!O:O,MATCH($A1339,emprunts!$A:$A,0))="",INDEX(emprunts!N:N,MATCH($A1339,emprunts!$A:$A,0)),MIN(INDEX(emprunts!N:N,MATCH($A1339,emprunts!$A:$A,0)),INDEX(emprunts!O:O,MATCH($A1339,emprunts!$A:$A,0))))</f>
        <v>48635</v>
      </c>
      <c r="E1339" s="52">
        <f>INDEX(emprunts!I:I,MATCH($A1339,emprunts!$A:$A,0))</f>
        <v>20</v>
      </c>
      <c r="F1339" s="18" t="str">
        <f>INDEX(emprunts!P:P,MATCH($A1339,emprunts!$A:$A,0))</f>
        <v>Fixe</v>
      </c>
      <c r="G1339" s="126" t="str">
        <f>IF(LEFT(A1339,3)="vx_","vx",INDEX(Categorie,MATCH($A1339,emprunts!$A$2:$A$149,0)))</f>
        <v>Restr_sec</v>
      </c>
      <c r="H1339">
        <v>2018</v>
      </c>
      <c r="I1339">
        <f t="shared" si="215"/>
        <v>1</v>
      </c>
      <c r="N1339"/>
      <c r="O1339" s="58">
        <v>3264323</v>
      </c>
      <c r="P1339" s="4">
        <v>4.4900000000000002E-2</v>
      </c>
      <c r="Q1339" s="58">
        <v>131234.70000000001</v>
      </c>
      <c r="R1339" s="58">
        <v>153616.99</v>
      </c>
      <c r="S1339" s="58"/>
      <c r="T1339" s="58">
        <v>14488.23</v>
      </c>
      <c r="U1339" s="58">
        <f t="shared" si="223"/>
        <v>284851.69</v>
      </c>
      <c r="V1339" s="14">
        <f t="shared" si="222"/>
        <v>0</v>
      </c>
      <c r="W1339" s="77"/>
      <c r="X1339" s="85">
        <f t="shared" si="216"/>
        <v>0</v>
      </c>
      <c r="Y1339" s="21">
        <f t="shared" si="220"/>
        <v>3.9181801728433406E-2</v>
      </c>
      <c r="AA1339" s="55">
        <f t="shared" ref="AA1339:AA1367" si="224">T1339+Q1339+S1339-SUMPRODUCT(($A$123:$A$1367=$A1339)*($H$123:$H$1367=$H1339-1),$T$123:$T$1367)</f>
        <v>130552.89000000001</v>
      </c>
      <c r="AB1339" s="55">
        <f t="shared" ref="AB1339:AB1367" si="225">IF(YEAR(C1339)=H1339,"",O1339+R1339+X1339-W1339-SUMPRODUCT(($A$123:$A$1367=$A1339)*($H$123:$H$1367=$H1339-1),$O$123:$O$1367))</f>
        <v>-9.9999997764825821E-3</v>
      </c>
      <c r="AC1339" s="55">
        <f t="shared" si="214"/>
        <v>3331977.710082192</v>
      </c>
    </row>
    <row r="1340" spans="1:29" ht="30">
      <c r="A1340" s="1" t="s">
        <v>498</v>
      </c>
      <c r="B1340" s="16" t="str">
        <f>INDEX(emprunts!C:C,MATCH($A1340,emprunts!A:A,0))</f>
        <v>Dexia CL</v>
      </c>
      <c r="C1340" s="18">
        <f>INDEX(emprunts!M:M,MATCH($A1340,emprunts!$A:$A,0))</f>
        <v>41426</v>
      </c>
      <c r="D1340" s="18">
        <f>IF(INDEX(emprunts!O:O,MATCH($A1340,emprunts!$A:$A,0))="",INDEX(emprunts!N:N,MATCH($A1340,emprunts!$A:$A,0)),MIN(INDEX(emprunts!N:N,MATCH($A1340,emprunts!$A:$A,0)),INDEX(emprunts!O:O,MATCH($A1340,emprunts!$A:$A,0))))</f>
        <v>48731</v>
      </c>
      <c r="E1340" s="52">
        <f>INDEX(emprunts!I:I,MATCH($A1340,emprunts!$A:$A,0))</f>
        <v>20</v>
      </c>
      <c r="F1340" s="18" t="str">
        <f>INDEX(emprunts!P:P,MATCH($A1340,emprunts!$A:$A,0))</f>
        <v>Fixe</v>
      </c>
      <c r="G1340" s="126" t="str">
        <f>IF(LEFT(A1340,3)="vx_","vx",INDEX(Categorie,MATCH($A1340,emprunts!$A$2:$A$149,0)))</f>
        <v>Restr_sec</v>
      </c>
      <c r="H1340">
        <v>2018</v>
      </c>
      <c r="I1340">
        <f t="shared" si="215"/>
        <v>1</v>
      </c>
      <c r="N1340"/>
      <c r="O1340" s="58">
        <v>13563497</v>
      </c>
      <c r="P1340" s="4">
        <v>5.04E-2</v>
      </c>
      <c r="Q1340" s="58">
        <v>719814.8</v>
      </c>
      <c r="R1340" s="58">
        <v>692614.38</v>
      </c>
      <c r="S1340" s="58"/>
      <c r="T1340" s="58">
        <v>399648.43</v>
      </c>
      <c r="U1340" s="58">
        <f t="shared" si="223"/>
        <v>1412429.1800000002</v>
      </c>
      <c r="V1340" s="14">
        <f t="shared" si="222"/>
        <v>0</v>
      </c>
      <c r="W1340" s="77"/>
      <c r="X1340" s="85">
        <f t="shared" si="216"/>
        <v>0</v>
      </c>
      <c r="Y1340" s="21">
        <f t="shared" si="220"/>
        <v>5.0419715331910614E-2</v>
      </c>
      <c r="AA1340" s="55">
        <f t="shared" si="224"/>
        <v>699406.91999999993</v>
      </c>
      <c r="AB1340" s="55">
        <f t="shared" si="225"/>
        <v>0.38000000081956387</v>
      </c>
      <c r="AC1340" s="55">
        <f t="shared" si="214"/>
        <v>13871695.137424657</v>
      </c>
    </row>
    <row r="1341" spans="1:29">
      <c r="A1341" t="s">
        <v>357</v>
      </c>
      <c r="B1341" s="16" t="str">
        <f>INDEX(emprunts!C:C,MATCH($A1341,emprunts!A:A,0))</f>
        <v>Caisse d'Épargne</v>
      </c>
      <c r="C1341" s="18">
        <f>INDEX(emprunts!M:M,MATCH($A1341,emprunts!$A:$A,0))</f>
        <v>41639</v>
      </c>
      <c r="D1341" s="18">
        <f>IF(INDEX(emprunts!O:O,MATCH($A1341,emprunts!$A:$A,0))="",INDEX(emprunts!N:N,MATCH($A1341,emprunts!$A:$A,0)),MIN(INDEX(emprunts!N:N,MATCH($A1341,emprunts!$A:$A,0)),INDEX(emprunts!O:O,MATCH($A1341,emprunts!$A:$A,0))))</f>
        <v>48944</v>
      </c>
      <c r="E1341" s="52">
        <f>INDEX(emprunts!I:I,MATCH($A1341,emprunts!$A:$A,0))</f>
        <v>20</v>
      </c>
      <c r="F1341" s="18" t="str">
        <f>INDEX(emprunts!P:P,MATCH($A1341,emprunts!$A:$A,0))</f>
        <v>Fixe</v>
      </c>
      <c r="G1341" s="126" t="str">
        <f>IF(LEFT(A1341,3)="vx_","vx",INDEX(Categorie,MATCH($A1341,emprunts!$A$2:$A$149,0)))</f>
        <v>Non_st</v>
      </c>
      <c r="H1341">
        <v>2018</v>
      </c>
      <c r="I1341">
        <f t="shared" si="215"/>
        <v>1</v>
      </c>
      <c r="N1341"/>
      <c r="O1341" s="58">
        <v>7500000</v>
      </c>
      <c r="P1341" s="4">
        <v>4.3999999999999997E-2</v>
      </c>
      <c r="Q1341" s="58">
        <v>352833.33</v>
      </c>
      <c r="R1341" s="58">
        <v>500000</v>
      </c>
      <c r="S1341" s="58"/>
      <c r="T1341" s="58">
        <v>0</v>
      </c>
      <c r="U1341" s="58">
        <f t="shared" si="223"/>
        <v>852833.33000000007</v>
      </c>
      <c r="V1341" s="14">
        <f t="shared" si="222"/>
        <v>0</v>
      </c>
      <c r="W1341" s="77"/>
      <c r="X1341" s="85">
        <f t="shared" si="216"/>
        <v>0</v>
      </c>
      <c r="Y1341" s="21">
        <f t="shared" si="220"/>
        <v>4.5651955140021273E-2</v>
      </c>
      <c r="AA1341" s="55">
        <f t="shared" si="224"/>
        <v>352833.33</v>
      </c>
      <c r="AB1341" s="55">
        <f t="shared" si="225"/>
        <v>0</v>
      </c>
      <c r="AC1341" s="55">
        <f t="shared" si="214"/>
        <v>7728767.1232876712</v>
      </c>
    </row>
    <row r="1342" spans="1:29" ht="30">
      <c r="A1342" t="s">
        <v>358</v>
      </c>
      <c r="B1342" s="16" t="str">
        <f>INDEX(emprunts!C:C,MATCH($A1342,emprunts!A:A,0))</f>
        <v>Société Générale</v>
      </c>
      <c r="C1342" s="18">
        <f>INDEX(emprunts!M:M,MATCH($A1342,emprunts!$A:$A,0))</f>
        <v>41640</v>
      </c>
      <c r="D1342" s="18">
        <f>IF(INDEX(emprunts!O:O,MATCH($A1342,emprunts!$A:$A,0))="",INDEX(emprunts!N:N,MATCH($A1342,emprunts!$A:$A,0)),MIN(INDEX(emprunts!N:N,MATCH($A1342,emprunts!$A:$A,0)),INDEX(emprunts!O:O,MATCH($A1342,emprunts!$A:$A,0))))</f>
        <v>49310</v>
      </c>
      <c r="E1342" s="52">
        <f>INDEX(emprunts!I:I,MATCH($A1342,emprunts!$A:$A,0))</f>
        <v>21</v>
      </c>
      <c r="F1342" s="18" t="str">
        <f>INDEX(emprunts!P:P,MATCH($A1342,emprunts!$A:$A,0))</f>
        <v>Fixe</v>
      </c>
      <c r="G1342" s="126" t="str">
        <f>IF(LEFT(A1342,3)="vx_","vx",INDEX(Categorie,MATCH($A1342,emprunts!$A$2:$A$149,0)))</f>
        <v>Restr_sec</v>
      </c>
      <c r="H1342">
        <v>2018</v>
      </c>
      <c r="I1342">
        <f t="shared" si="215"/>
        <v>1</v>
      </c>
      <c r="N1342"/>
      <c r="O1342" s="58">
        <v>3580339</v>
      </c>
      <c r="P1342" s="4">
        <v>4.8500000000000001E-2</v>
      </c>
      <c r="Q1342" s="58">
        <v>174788.58</v>
      </c>
      <c r="R1342" s="58">
        <v>131958.14000000001</v>
      </c>
      <c r="S1342" s="58"/>
      <c r="T1342" s="58">
        <v>14321.35</v>
      </c>
      <c r="U1342" s="58">
        <f t="shared" si="223"/>
        <v>306746.71999999997</v>
      </c>
      <c r="V1342" s="14">
        <f t="shared" si="222"/>
        <v>0</v>
      </c>
      <c r="W1342" s="77"/>
      <c r="X1342" s="85">
        <f t="shared" si="216"/>
        <v>0</v>
      </c>
      <c r="Y1342" s="21">
        <f t="shared" si="220"/>
        <v>4.7922171061918165E-2</v>
      </c>
      <c r="AA1342" s="55">
        <f t="shared" si="224"/>
        <v>174260.74</v>
      </c>
      <c r="AB1342" s="55">
        <f t="shared" si="225"/>
        <v>0.14000000013038516</v>
      </c>
      <c r="AC1342" s="55">
        <f t="shared" si="214"/>
        <v>3636328.157479452</v>
      </c>
    </row>
    <row r="1343" spans="1:29" ht="30">
      <c r="A1343" t="s">
        <v>359</v>
      </c>
      <c r="B1343" s="16" t="str">
        <f>INDEX(emprunts!C:C,MATCH($A1343,emprunts!A:A,0))</f>
        <v>Dexia CL</v>
      </c>
      <c r="C1343" s="18">
        <f>INDEX(emprunts!M:M,MATCH($A1343,emprunts!$A:$A,0))</f>
        <v>41654</v>
      </c>
      <c r="D1343" s="18">
        <f>IF(INDEX(emprunts!O:O,MATCH($A1343,emprunts!$A:$A,0))="",INDEX(emprunts!N:N,MATCH($A1343,emprunts!$A:$A,0)),MIN(INDEX(emprunts!N:N,MATCH($A1343,emprunts!$A:$A,0)),INDEX(emprunts!O:O,MATCH($A1343,emprunts!$A:$A,0))))</f>
        <v>48884</v>
      </c>
      <c r="E1343" s="52">
        <f>INDEX(emprunts!I:I,MATCH($A1343,emprunts!$A:$A,0))</f>
        <v>19.829999999999998</v>
      </c>
      <c r="F1343" s="18" t="str">
        <f>INDEX(emprunts!P:P,MATCH($A1343,emprunts!$A:$A,0))</f>
        <v>Fixe</v>
      </c>
      <c r="G1343" s="126" t="str">
        <f>IF(LEFT(A1343,3)="vx_","vx",INDEX(Categorie,MATCH($A1343,emprunts!$A$2:$A$149,0)))</f>
        <v>Restr_sec</v>
      </c>
      <c r="H1343">
        <v>2018</v>
      </c>
      <c r="I1343">
        <f t="shared" si="215"/>
        <v>1</v>
      </c>
      <c r="N1343"/>
      <c r="O1343" s="58">
        <v>18933184</v>
      </c>
      <c r="P1343" s="4">
        <v>4.6899999999999997E-2</v>
      </c>
      <c r="Q1343" s="58">
        <v>949024.52</v>
      </c>
      <c r="R1343" s="58">
        <v>1239750.55</v>
      </c>
      <c r="S1343" s="58"/>
      <c r="T1343" s="58">
        <v>146416.63</v>
      </c>
      <c r="U1343" s="58">
        <f t="shared" si="223"/>
        <v>2188775.0700000003</v>
      </c>
      <c r="V1343" s="14">
        <f t="shared" si="222"/>
        <v>0</v>
      </c>
      <c r="W1343" s="77"/>
      <c r="X1343" s="85">
        <f t="shared" si="216"/>
        <v>0</v>
      </c>
      <c r="Y1343" s="21">
        <f t="shared" si="220"/>
        <v>4.8177524445662027E-2</v>
      </c>
      <c r="AA1343" s="55">
        <f t="shared" si="224"/>
        <v>939437.11999999988</v>
      </c>
      <c r="AB1343" s="55">
        <f t="shared" si="225"/>
        <v>-0.44999999925494194</v>
      </c>
      <c r="AC1343" s="55">
        <f t="shared" si="214"/>
        <v>19499489.249589041</v>
      </c>
    </row>
    <row r="1344" spans="1:29">
      <c r="A1344" t="s">
        <v>360</v>
      </c>
      <c r="B1344" s="16" t="str">
        <f>INDEX(emprunts!C:C,MATCH($A1344,emprunts!A:A,0))</f>
        <v>Caisse d'Épargne</v>
      </c>
      <c r="C1344" s="18">
        <f>INDEX(emprunts!M:M,MATCH($A1344,emprunts!$A:$A,0))</f>
        <v>41695</v>
      </c>
      <c r="D1344" s="18">
        <f>IF(INDEX(emprunts!O:O,MATCH($A1344,emprunts!$A:$A,0))="",INDEX(emprunts!N:N,MATCH($A1344,emprunts!$A:$A,0)),MIN(INDEX(emprunts!N:N,MATCH($A1344,emprunts!$A:$A,0)),INDEX(emprunts!O:O,MATCH($A1344,emprunts!$A:$A,0))))</f>
        <v>43156</v>
      </c>
      <c r="E1344" s="52">
        <f>INDEX(emprunts!I:I,MATCH($A1344,emprunts!$A:$A,0))</f>
        <v>5</v>
      </c>
      <c r="F1344" s="18" t="str">
        <f>INDEX(emprunts!P:P,MATCH($A1344,emprunts!$A:$A,0))</f>
        <v>Courbes</v>
      </c>
      <c r="G1344" s="126" t="str">
        <f>IF(LEFT(A1344,3)="vx_","vx",INDEX(Categorie,MATCH($A1344,emprunts!$A$2:$A$149,0)))</f>
        <v>Struct</v>
      </c>
      <c r="H1344">
        <v>2018</v>
      </c>
      <c r="I1344">
        <f t="shared" si="215"/>
        <v>1</v>
      </c>
      <c r="N1344"/>
      <c r="O1344" s="58">
        <v>0</v>
      </c>
      <c r="P1344" s="4">
        <v>0.11119999999999999</v>
      </c>
      <c r="Q1344" s="58">
        <v>595064.28</v>
      </c>
      <c r="R1344" s="58">
        <v>659923.31000000006</v>
      </c>
      <c r="S1344" s="58"/>
      <c r="T1344" s="58">
        <v>0</v>
      </c>
      <c r="U1344" s="58">
        <f t="shared" si="223"/>
        <v>1254987.5900000001</v>
      </c>
      <c r="V1344" s="14">
        <f t="shared" si="222"/>
        <v>0</v>
      </c>
      <c r="W1344" s="77"/>
      <c r="X1344" s="85">
        <f t="shared" si="216"/>
        <v>4676000</v>
      </c>
      <c r="Y1344" s="21">
        <f t="shared" si="220"/>
        <v>0.12103241094079423</v>
      </c>
      <c r="AA1344" s="55">
        <f t="shared" si="224"/>
        <v>91297.530000000028</v>
      </c>
      <c r="AB1344" s="55">
        <f t="shared" si="225"/>
        <v>353.31000000052154</v>
      </c>
      <c r="AC1344" s="55">
        <f t="shared" si="214"/>
        <v>754322.98910958902</v>
      </c>
    </row>
    <row r="1345" spans="1:29" ht="30">
      <c r="A1345" t="s">
        <v>361</v>
      </c>
      <c r="B1345" s="16" t="str">
        <f>INDEX(emprunts!C:C,MATCH($A1345,emprunts!A:A,0))</f>
        <v>Caisse d'Épargne</v>
      </c>
      <c r="C1345" s="18">
        <f>INDEX(emprunts!M:M,MATCH($A1345,emprunts!$A:$A,0))</f>
        <v>41695</v>
      </c>
      <c r="D1345" s="18">
        <f>IF(INDEX(emprunts!O:O,MATCH($A1345,emprunts!$A:$A,0))="",INDEX(emprunts!N:N,MATCH($A1345,emprunts!$A:$A,0)),MIN(INDEX(emprunts!N:N,MATCH($A1345,emprunts!$A:$A,0)),INDEX(emprunts!O:O,MATCH($A1345,emprunts!$A:$A,0))))</f>
        <v>46078</v>
      </c>
      <c r="E1345" s="52">
        <f>INDEX(emprunts!I:I,MATCH($A1345,emprunts!$A:$A,0))</f>
        <v>12</v>
      </c>
      <c r="F1345" s="18" t="str">
        <f>INDEX(emprunts!P:P,MATCH($A1345,emprunts!$A:$A,0))</f>
        <v>Fixe</v>
      </c>
      <c r="G1345" s="126" t="str">
        <f>IF(LEFT(A1345,3)="vx_","vx",INDEX(Categorie,MATCH($A1345,emprunts!$A$2:$A$149,0)))</f>
        <v>Restr_sec</v>
      </c>
      <c r="H1345">
        <v>2018</v>
      </c>
      <c r="I1345">
        <f t="shared" si="215"/>
        <v>1</v>
      </c>
      <c r="N1345"/>
      <c r="O1345" s="58">
        <v>1642795</v>
      </c>
      <c r="P1345" s="4">
        <v>4.7800000000000002E-2</v>
      </c>
      <c r="Q1345" s="58">
        <v>89902.94</v>
      </c>
      <c r="R1345" s="58">
        <v>231864.94</v>
      </c>
      <c r="S1345" s="58"/>
      <c r="T1345" s="58">
        <v>66696.09</v>
      </c>
      <c r="U1345" s="58">
        <f t="shared" si="223"/>
        <v>321767.88</v>
      </c>
      <c r="V1345" s="14">
        <f t="shared" si="222"/>
        <v>0</v>
      </c>
      <c r="W1345" s="77"/>
      <c r="X1345" s="85">
        <f t="shared" si="216"/>
        <v>0</v>
      </c>
      <c r="Y1345" s="21">
        <f t="shared" si="220"/>
        <v>4.5891444898065861E-2</v>
      </c>
      <c r="AA1345" s="55">
        <f t="shared" si="224"/>
        <v>80489.42</v>
      </c>
      <c r="AB1345" s="55">
        <f t="shared" si="225"/>
        <v>-6.0000000055879354E-2</v>
      </c>
      <c r="AC1345" s="55">
        <f t="shared" si="214"/>
        <v>1753909.0385753424</v>
      </c>
    </row>
    <row r="1346" spans="1:29" ht="30">
      <c r="A1346" t="s">
        <v>362</v>
      </c>
      <c r="B1346" s="16" t="str">
        <f>INDEX(emprunts!C:C,MATCH($A1346,emprunts!A:A,0))</f>
        <v>Société Générale</v>
      </c>
      <c r="C1346" s="18">
        <f>INDEX(emprunts!M:M,MATCH($A1346,emprunts!$A:$A,0))</f>
        <v>41730</v>
      </c>
      <c r="D1346" s="18">
        <f>IF(INDEX(emprunts!O:O,MATCH($A1346,emprunts!$A:$A,0))="",INDEX(emprunts!N:N,MATCH($A1346,emprunts!$A:$A,0)),MIN(INDEX(emprunts!N:N,MATCH($A1346,emprunts!$A:$A,0)),INDEX(emprunts!O:O,MATCH($A1346,emprunts!$A:$A,0))))</f>
        <v>49400</v>
      </c>
      <c r="E1346" s="52">
        <f>INDEX(emprunts!I:I,MATCH($A1346,emprunts!$A:$A,0))</f>
        <v>21</v>
      </c>
      <c r="F1346" s="18" t="str">
        <f>INDEX(emprunts!P:P,MATCH($A1346,emprunts!$A:$A,0))</f>
        <v>Fixe</v>
      </c>
      <c r="G1346" s="126" t="str">
        <f>IF(LEFT(A1346,3)="vx_","vx",INDEX(Categorie,MATCH($A1346,emprunts!$A$2:$A$149,0)))</f>
        <v>Restr_sec</v>
      </c>
      <c r="H1346">
        <v>2018</v>
      </c>
      <c r="I1346">
        <f t="shared" si="215"/>
        <v>1</v>
      </c>
      <c r="N1346"/>
      <c r="O1346" s="58">
        <v>2984904</v>
      </c>
      <c r="P1346" s="4">
        <v>4.8500000000000001E-2</v>
      </c>
      <c r="Q1346" s="58">
        <v>147040.17000000001</v>
      </c>
      <c r="R1346" s="58">
        <v>110012.58</v>
      </c>
      <c r="S1346" s="58"/>
      <c r="T1346" s="58">
        <v>11939.61</v>
      </c>
      <c r="U1346" s="58">
        <f t="shared" si="223"/>
        <v>257052.75</v>
      </c>
      <c r="V1346" s="14">
        <f t="shared" si="222"/>
        <v>0</v>
      </c>
      <c r="W1346" s="77"/>
      <c r="X1346" s="85">
        <f t="shared" si="216"/>
        <v>0</v>
      </c>
      <c r="Y1346" s="21">
        <f t="shared" si="220"/>
        <v>4.8357633468985563E-2</v>
      </c>
      <c r="AA1346" s="55">
        <f t="shared" si="224"/>
        <v>146600.12000000002</v>
      </c>
      <c r="AB1346" s="55">
        <f t="shared" si="225"/>
        <v>0.58000000007450581</v>
      </c>
      <c r="AC1346" s="55">
        <f t="shared" si="214"/>
        <v>3031581.7686575344</v>
      </c>
    </row>
    <row r="1347" spans="1:29">
      <c r="A1347" t="s">
        <v>363</v>
      </c>
      <c r="B1347" s="16" t="str">
        <f>INDEX(emprunts!C:C,MATCH($A1347,emprunts!A:A,0))</f>
        <v>Dexia CL</v>
      </c>
      <c r="C1347" s="18">
        <f>INDEX(emprunts!M:M,MATCH($A1347,emprunts!$A:$A,0))</f>
        <v>41760</v>
      </c>
      <c r="D1347" s="18">
        <f>IF(INDEX(emprunts!O:O,MATCH($A1347,emprunts!$A:$A,0))="",INDEX(emprunts!N:N,MATCH($A1347,emprunts!$A:$A,0)),MIN(INDEX(emprunts!N:N,MATCH($A1347,emprunts!$A:$A,0)),INDEX(emprunts!O:O,MATCH($A1347,emprunts!$A:$A,0))))</f>
        <v>47239</v>
      </c>
      <c r="E1347" s="52">
        <f>INDEX(emprunts!I:I,MATCH($A1347,emprunts!$A:$A,0))</f>
        <v>15</v>
      </c>
      <c r="F1347" s="18" t="str">
        <f>INDEX(emprunts!P:P,MATCH($A1347,emprunts!$A:$A,0))</f>
        <v>Fixe</v>
      </c>
      <c r="G1347" s="126" t="str">
        <f>IF(LEFT(A1347,3)="vx_","vx",INDEX(Categorie,MATCH($A1347,emprunts!$A$2:$A$149,0)))</f>
        <v>Non_st</v>
      </c>
      <c r="H1347">
        <v>2018</v>
      </c>
      <c r="I1347">
        <f t="shared" si="215"/>
        <v>1</v>
      </c>
      <c r="N1347"/>
      <c r="O1347" s="58">
        <v>4801554</v>
      </c>
      <c r="P1347" s="26">
        <v>0.04</v>
      </c>
      <c r="Q1347" s="58">
        <v>205705.94</v>
      </c>
      <c r="R1347" s="58">
        <v>321881.95</v>
      </c>
      <c r="S1347" s="58"/>
      <c r="T1347" s="58">
        <v>128873.7</v>
      </c>
      <c r="U1347" s="58">
        <f t="shared" si="223"/>
        <v>527587.89</v>
      </c>
      <c r="V1347" s="14">
        <f t="shared" si="222"/>
        <v>0</v>
      </c>
      <c r="W1347" s="77"/>
      <c r="X1347" s="85">
        <f t="shared" si="216"/>
        <v>0</v>
      </c>
      <c r="Y1347" s="21">
        <f t="shared" si="220"/>
        <v>3.9820296612120873E-2</v>
      </c>
      <c r="AA1347" s="55">
        <f t="shared" si="224"/>
        <v>197066.63</v>
      </c>
      <c r="AB1347" s="55">
        <f t="shared" si="225"/>
        <v>-4.9999999813735485E-2</v>
      </c>
      <c r="AC1347" s="55">
        <f t="shared" si="214"/>
        <v>4948899.0983561641</v>
      </c>
    </row>
    <row r="1348" spans="1:29" ht="30">
      <c r="A1348" t="s">
        <v>364</v>
      </c>
      <c r="B1348" s="16" t="str">
        <f>INDEX(emprunts!C:C,MATCH($A1348,emprunts!A:A,0))</f>
        <v>Dexia CL</v>
      </c>
      <c r="C1348" s="18">
        <f>INDEX(emprunts!M:M,MATCH($A1348,emprunts!$A:$A,0))</f>
        <v>41760</v>
      </c>
      <c r="D1348" s="18">
        <f>IF(INDEX(emprunts!O:O,MATCH($A1348,emprunts!$A:$A,0))="",INDEX(emprunts!N:N,MATCH($A1348,emprunts!$A:$A,0)),MIN(INDEX(emprunts!N:N,MATCH($A1348,emprunts!$A:$A,0)),INDEX(emprunts!O:O,MATCH($A1348,emprunts!$A:$A,0))))</f>
        <v>49796</v>
      </c>
      <c r="E1348" s="52">
        <f>INDEX(emprunts!I:I,MATCH($A1348,emprunts!$A:$A,0))</f>
        <v>22</v>
      </c>
      <c r="F1348" s="18" t="str">
        <f>INDEX(emprunts!P:P,MATCH($A1348,emprunts!$A:$A,0))</f>
        <v>Fixe</v>
      </c>
      <c r="G1348" s="126" t="str">
        <f>IF(LEFT(A1348,3)="vx_","vx",INDEX(Categorie,MATCH($A1348,emprunts!$A$2:$A$149,0)))</f>
        <v>Restr_aidé</v>
      </c>
      <c r="H1348">
        <v>2018</v>
      </c>
      <c r="I1348">
        <f t="shared" si="215"/>
        <v>1</v>
      </c>
      <c r="N1348"/>
      <c r="O1348" s="58">
        <v>31786309</v>
      </c>
      <c r="P1348" s="4">
        <v>4.7199999999999999E-2</v>
      </c>
      <c r="Q1348" s="58">
        <v>1581009.22</v>
      </c>
      <c r="R1348" s="58">
        <v>1604516.45</v>
      </c>
      <c r="S1348" s="58"/>
      <c r="T1348" s="58">
        <v>1006107.32</v>
      </c>
      <c r="U1348" s="58">
        <f t="shared" si="223"/>
        <v>3185525.67</v>
      </c>
      <c r="V1348" s="14">
        <f t="shared" si="222"/>
        <v>0</v>
      </c>
      <c r="W1348" s="77"/>
      <c r="X1348" s="85">
        <f t="shared" si="216"/>
        <v>0</v>
      </c>
      <c r="Y1348" s="21">
        <f t="shared" si="220"/>
        <v>4.7084813761521731E-2</v>
      </c>
      <c r="AA1348" s="55">
        <f t="shared" si="224"/>
        <v>1530222.71</v>
      </c>
      <c r="AB1348" s="55">
        <f t="shared" si="225"/>
        <v>-0.55000000074505806</v>
      </c>
      <c r="AC1348" s="55">
        <f t="shared" si="214"/>
        <v>32499283.479178082</v>
      </c>
    </row>
    <row r="1349" spans="1:29">
      <c r="A1349" t="s">
        <v>365</v>
      </c>
      <c r="B1349" s="16" t="str">
        <f>INDEX(emprunts!C:C,MATCH($A1349,emprunts!A:A,0))</f>
        <v>Société Générale</v>
      </c>
      <c r="C1349" s="18">
        <f>INDEX(emprunts!M:M,MATCH($A1349,emprunts!$A:$A,0))</f>
        <v>41820</v>
      </c>
      <c r="D1349" s="18">
        <f>IF(INDEX(emprunts!O:O,MATCH($A1349,emprunts!$A:$A,0))="",INDEX(emprunts!N:N,MATCH($A1349,emprunts!$A:$A,0)),MIN(INDEX(emprunts!N:N,MATCH($A1349,emprunts!$A:$A,0)),INDEX(emprunts!O:O,MATCH($A1349,emprunts!$A:$A,0))))</f>
        <v>49460</v>
      </c>
      <c r="E1349" s="52">
        <f>INDEX(emprunts!I:I,MATCH($A1349,emprunts!$A:$A,0))</f>
        <v>20</v>
      </c>
      <c r="F1349" s="18" t="str">
        <f>INDEX(emprunts!P:P,MATCH($A1349,emprunts!$A:$A,0))</f>
        <v>Variable</v>
      </c>
      <c r="G1349" s="126" t="str">
        <f>IF(LEFT(A1349,3)="vx_","vx",INDEX(Categorie,MATCH($A1349,emprunts!$A$2:$A$149,0)))</f>
        <v>Non_st</v>
      </c>
      <c r="H1349">
        <v>2018</v>
      </c>
      <c r="I1349">
        <f t="shared" si="215"/>
        <v>1</v>
      </c>
      <c r="N1349"/>
      <c r="O1349" s="58">
        <v>4125000</v>
      </c>
      <c r="P1349" s="4">
        <v>1.52E-2</v>
      </c>
      <c r="Q1349" s="58">
        <v>65245.49</v>
      </c>
      <c r="R1349" s="58">
        <v>250000</v>
      </c>
      <c r="S1349" s="58"/>
      <c r="T1349" s="58">
        <v>10395</v>
      </c>
      <c r="U1349" s="58">
        <f t="shared" si="223"/>
        <v>315245.49</v>
      </c>
      <c r="V1349" s="14">
        <f t="shared" si="222"/>
        <v>0</v>
      </c>
      <c r="W1349" s="77"/>
      <c r="X1349" s="85">
        <f t="shared" si="216"/>
        <v>0</v>
      </c>
      <c r="Y1349" s="21">
        <f t="shared" si="220"/>
        <v>1.5267777763413056E-2</v>
      </c>
      <c r="AA1349" s="55">
        <f t="shared" si="224"/>
        <v>64710.279999999992</v>
      </c>
      <c r="AB1349" s="55">
        <f t="shared" si="225"/>
        <v>0</v>
      </c>
      <c r="AC1349" s="55">
        <f t="shared" si="214"/>
        <v>4238356.1643835614</v>
      </c>
    </row>
    <row r="1350" spans="1:29">
      <c r="A1350" t="s">
        <v>366</v>
      </c>
      <c r="B1350" s="16" t="str">
        <f>INDEX(emprunts!C:C,MATCH($A1350,emprunts!A:A,0))</f>
        <v>Caisse d'Épargne</v>
      </c>
      <c r="C1350" s="18">
        <f>INDEX(emprunts!M:M,MATCH($A1350,emprunts!$A:$A,0))</f>
        <v>41912</v>
      </c>
      <c r="D1350" s="18">
        <f>IF(INDEX(emprunts!O:O,MATCH($A1350,emprunts!$A:$A,0))="",INDEX(emprunts!N:N,MATCH($A1350,emprunts!$A:$A,0)),MIN(INDEX(emprunts!N:N,MATCH($A1350,emprunts!$A:$A,0)),INDEX(emprunts!O:O,MATCH($A1350,emprunts!$A:$A,0))))</f>
        <v>49217</v>
      </c>
      <c r="E1350" s="52">
        <f>INDEX(emprunts!I:I,MATCH($A1350,emprunts!$A:$A,0))</f>
        <v>20</v>
      </c>
      <c r="F1350" s="18" t="str">
        <f>INDEX(emprunts!P:P,MATCH($A1350,emprunts!$A:$A,0))</f>
        <v>Fixe</v>
      </c>
      <c r="G1350" s="126" t="str">
        <f>IF(LEFT(A1350,3)="vx_","vx",INDEX(Categorie,MATCH($A1350,emprunts!$A$2:$A$149,0)))</f>
        <v>Non_st</v>
      </c>
      <c r="H1350">
        <v>2018</v>
      </c>
      <c r="I1350">
        <f t="shared" si="215"/>
        <v>1</v>
      </c>
      <c r="N1350"/>
      <c r="O1350" s="58">
        <v>8000000</v>
      </c>
      <c r="P1350" s="4">
        <v>4.3999999999999997E-2</v>
      </c>
      <c r="Q1350" s="58">
        <v>374885.42</v>
      </c>
      <c r="R1350" s="58">
        <v>500000</v>
      </c>
      <c r="S1350" s="58"/>
      <c r="T1350" s="58">
        <v>88933.33</v>
      </c>
      <c r="U1350" s="58">
        <f t="shared" si="223"/>
        <v>874885.41999999993</v>
      </c>
      <c r="V1350" s="14">
        <f t="shared" si="222"/>
        <v>0</v>
      </c>
      <c r="W1350" s="77"/>
      <c r="X1350" s="85">
        <f t="shared" si="216"/>
        <v>0</v>
      </c>
      <c r="Y1350" s="21">
        <f t="shared" si="220"/>
        <v>4.4889904828504829E-2</v>
      </c>
      <c r="AA1350" s="55">
        <f t="shared" si="224"/>
        <v>369327.08</v>
      </c>
      <c r="AB1350" s="55">
        <f t="shared" si="225"/>
        <v>0</v>
      </c>
      <c r="AC1350" s="55">
        <f t="shared" ref="AC1350:AC1367" si="226">MAX(0,(C1350-DATE(H1350,1,1))/365)*0+MAX(0,MIN(1,(MIN(DATE(H1350,12,31),D1350)-MAX(DATE(H1350,1,1),C1350))/365))*(O1350+X1350+R1350/2)</f>
        <v>8227397.2602739725</v>
      </c>
    </row>
    <row r="1351" spans="1:29">
      <c r="A1351" t="s">
        <v>367</v>
      </c>
      <c r="B1351" s="16" t="str">
        <f>INDEX(emprunts!C:C,MATCH($A1351,emprunts!A:A,0))</f>
        <v>Caisse d'Épargne</v>
      </c>
      <c r="C1351" s="18">
        <f>INDEX(emprunts!M:M,MATCH($A1351,emprunts!$A:$A,0))</f>
        <v>42004</v>
      </c>
      <c r="D1351" s="18">
        <f>IF(INDEX(emprunts!O:O,MATCH($A1351,emprunts!$A:$A,0))="",INDEX(emprunts!N:N,MATCH($A1351,emprunts!$A:$A,0)),MIN(INDEX(emprunts!N:N,MATCH($A1351,emprunts!$A:$A,0)),INDEX(emprunts!O:O,MATCH($A1351,emprunts!$A:$A,0))))</f>
        <v>49309</v>
      </c>
      <c r="E1351" s="52">
        <f>INDEX(emprunts!I:I,MATCH($A1351,emprunts!$A:$A,0))</f>
        <v>20</v>
      </c>
      <c r="F1351" s="18" t="str">
        <f>INDEX(emprunts!P:P,MATCH($A1351,emprunts!$A:$A,0))</f>
        <v>Fixe</v>
      </c>
      <c r="G1351" s="126" t="str">
        <f>IF(LEFT(A1351,3)="vx_","vx",INDEX(Categorie,MATCH($A1351,emprunts!$A$2:$A$149,0)))</f>
        <v>Non_st</v>
      </c>
      <c r="H1351">
        <v>2018</v>
      </c>
      <c r="I1351">
        <f t="shared" si="215"/>
        <v>1</v>
      </c>
      <c r="N1351"/>
      <c r="O1351" s="58">
        <v>8000000</v>
      </c>
      <c r="P1351" s="4">
        <v>4.2299999999999997E-2</v>
      </c>
      <c r="Q1351" s="58">
        <v>260234.72</v>
      </c>
      <c r="R1351" s="58">
        <v>500000</v>
      </c>
      <c r="S1351" s="58"/>
      <c r="T1351" s="58">
        <v>0</v>
      </c>
      <c r="U1351" s="58">
        <f t="shared" si="223"/>
        <v>760234.72</v>
      </c>
      <c r="V1351" s="14">
        <f t="shared" si="222"/>
        <v>0</v>
      </c>
      <c r="W1351" s="77"/>
      <c r="X1351" s="85">
        <f t="shared" si="216"/>
        <v>0</v>
      </c>
      <c r="Y1351" s="21">
        <f t="shared" si="220"/>
        <v>3.1630260672660671E-2</v>
      </c>
      <c r="AA1351" s="55">
        <f t="shared" si="224"/>
        <v>260234.72</v>
      </c>
      <c r="AB1351" s="55">
        <f t="shared" si="225"/>
        <v>0</v>
      </c>
      <c r="AC1351" s="55">
        <f t="shared" si="226"/>
        <v>8227397.2602739725</v>
      </c>
    </row>
    <row r="1352" spans="1:29">
      <c r="A1352" t="s">
        <v>368</v>
      </c>
      <c r="B1352" s="16" t="str">
        <f>INDEX(emprunts!C:C,MATCH($A1352,emprunts!A:A,0))</f>
        <v>Crédit Foncier</v>
      </c>
      <c r="C1352" s="18">
        <f>INDEX(emprunts!M:M,MATCH($A1352,emprunts!$A:$A,0))</f>
        <v>42048</v>
      </c>
      <c r="D1352" s="18">
        <f>IF(INDEX(emprunts!O:O,MATCH($A1352,emprunts!$A:$A,0))="",INDEX(emprunts!N:N,MATCH($A1352,emprunts!$A:$A,0)),MIN(INDEX(emprunts!N:N,MATCH($A1352,emprunts!$A:$A,0)),INDEX(emprunts!O:O,MATCH($A1352,emprunts!$A:$A,0))))</f>
        <v>47527</v>
      </c>
      <c r="E1352" s="52">
        <f>INDEX(emprunts!I:I,MATCH($A1352,emprunts!$A:$A,0))</f>
        <v>15</v>
      </c>
      <c r="F1352" s="18" t="str">
        <f>INDEX(emprunts!P:P,MATCH($A1352,emprunts!$A:$A,0))</f>
        <v>Fixe</v>
      </c>
      <c r="G1352" s="126" t="str">
        <f>IF(LEFT(A1352,3)="vx_","vx",INDEX(Categorie,MATCH($A1352,emprunts!$A$2:$A$149,0)))</f>
        <v>Non_st</v>
      </c>
      <c r="H1352">
        <v>2018</v>
      </c>
      <c r="I1352">
        <f t="shared" si="215"/>
        <v>1</v>
      </c>
      <c r="N1352"/>
      <c r="O1352" s="58">
        <v>4000000</v>
      </c>
      <c r="P1352" s="4">
        <v>3.7100000000000001E-2</v>
      </c>
      <c r="Q1352" s="58">
        <v>161200</v>
      </c>
      <c r="R1352" s="58">
        <v>333333.33</v>
      </c>
      <c r="S1352" s="58"/>
      <c r="T1352" s="58">
        <v>131026.67</v>
      </c>
      <c r="U1352" s="58">
        <f t="shared" si="223"/>
        <v>494533.33</v>
      </c>
      <c r="V1352" s="14">
        <f t="shared" si="222"/>
        <v>0</v>
      </c>
      <c r="W1352" s="77"/>
      <c r="X1352" s="85">
        <f t="shared" si="216"/>
        <v>0</v>
      </c>
      <c r="Y1352" s="21">
        <f t="shared" si="220"/>
        <v>3.6166552860620461E-2</v>
      </c>
      <c r="AA1352" s="55">
        <f t="shared" si="224"/>
        <v>150281.10999999999</v>
      </c>
      <c r="AB1352" s="55">
        <f t="shared" si="225"/>
        <v>0.33000000007450581</v>
      </c>
      <c r="AC1352" s="55">
        <f t="shared" si="226"/>
        <v>4155251.1398904109</v>
      </c>
    </row>
    <row r="1353" spans="1:29" ht="30">
      <c r="A1353" s="1" t="s">
        <v>525</v>
      </c>
      <c r="B1353" s="16" t="str">
        <f>INDEX(emprunts!C:C,MATCH($A1353,emprunts!A:A,0))</f>
        <v>Dexia CL</v>
      </c>
      <c r="C1353" s="18">
        <f>INDEX(emprunts!M:M,MATCH($A1353,emprunts!$A:$A,0))</f>
        <v>42125</v>
      </c>
      <c r="D1353" s="18">
        <f>IF(INDEX(emprunts!O:O,MATCH($A1353,emprunts!$A:$A,0))="",INDEX(emprunts!N:N,MATCH($A1353,emprunts!$A:$A,0)),MIN(INDEX(emprunts!N:N,MATCH($A1353,emprunts!$A:$A,0)),INDEX(emprunts!O:O,MATCH($A1353,emprunts!$A:$A,0))))</f>
        <v>49430</v>
      </c>
      <c r="E1353" s="52">
        <f>INDEX(emprunts!I:I,MATCH($A1353,emprunts!$A:$A,0))</f>
        <v>20</v>
      </c>
      <c r="F1353" s="18" t="str">
        <f>INDEX(emprunts!P:P,MATCH($A1353,emprunts!$A:$A,0))</f>
        <v>Fixe</v>
      </c>
      <c r="G1353" s="126" t="str">
        <f>IF(LEFT(A1353,3)="vx_","vx",INDEX(Categorie,MATCH($A1353,emprunts!$A$2:$A$149,0)))</f>
        <v>Restr_aidé</v>
      </c>
      <c r="H1353">
        <v>2018</v>
      </c>
      <c r="I1353">
        <f t="shared" si="215"/>
        <v>1</v>
      </c>
      <c r="N1353"/>
      <c r="O1353" s="58">
        <v>16067797</v>
      </c>
      <c r="P1353" s="4">
        <v>3.5000000000000003E-2</v>
      </c>
      <c r="Q1353" s="58">
        <v>584441.96</v>
      </c>
      <c r="R1353" s="58">
        <v>592199.97</v>
      </c>
      <c r="S1353" s="58"/>
      <c r="T1353" s="58">
        <v>376807.7</v>
      </c>
      <c r="U1353" s="58">
        <f t="shared" si="223"/>
        <v>1176641.93</v>
      </c>
      <c r="V1353" s="14">
        <f t="shared" si="222"/>
        <v>0</v>
      </c>
      <c r="W1353" s="77"/>
      <c r="X1353" s="85">
        <f t="shared" si="216"/>
        <v>0</v>
      </c>
      <c r="Y1353" s="21">
        <f t="shared" si="220"/>
        <v>3.4962433896113837E-2</v>
      </c>
      <c r="AA1353" s="55">
        <f t="shared" si="224"/>
        <v>570554.21</v>
      </c>
      <c r="AB1353" s="55">
        <f t="shared" si="225"/>
        <v>-2.9999999329447746E-2</v>
      </c>
      <c r="AC1353" s="55">
        <f t="shared" si="226"/>
        <v>16319064.390520548</v>
      </c>
    </row>
    <row r="1354" spans="1:29" ht="30">
      <c r="A1354" t="s">
        <v>369</v>
      </c>
      <c r="B1354" s="16" t="str">
        <f>INDEX(emprunts!C:C,MATCH($A1354,emprunts!A:A,0))</f>
        <v>Dexia CL</v>
      </c>
      <c r="C1354" s="18">
        <f>INDEX(emprunts!M:M,MATCH($A1354,emprunts!$A:$A,0))</f>
        <v>42339</v>
      </c>
      <c r="D1354" s="18">
        <f>IF(INDEX(emprunts!O:O,MATCH($A1354,emprunts!$A:$A,0))="",INDEX(emprunts!N:N,MATCH($A1354,emprunts!$A:$A,0)),MIN(INDEX(emprunts!N:N,MATCH($A1354,emprunts!$A:$A,0)),INDEX(emprunts!O:O,MATCH($A1354,emprunts!$A:$A,0))))</f>
        <v>51471</v>
      </c>
      <c r="E1354" s="52">
        <f>INDEX(emprunts!I:I,MATCH($A1354,emprunts!$A:$A,0))</f>
        <v>25</v>
      </c>
      <c r="F1354" s="18" t="str">
        <f>INDEX(emprunts!P:P,MATCH($A1354,emprunts!$A:$A,0))</f>
        <v>Fixe</v>
      </c>
      <c r="G1354" s="126" t="str">
        <f>IF(LEFT(A1354,3)="vx_","vx",INDEX(Categorie,MATCH($A1354,emprunts!$A$2:$A$149,0)))</f>
        <v>Restr_sec</v>
      </c>
      <c r="H1354">
        <v>2018</v>
      </c>
      <c r="I1354">
        <f t="shared" si="215"/>
        <v>1</v>
      </c>
      <c r="N1354"/>
      <c r="O1354" s="58">
        <v>8405526</v>
      </c>
      <c r="P1354" s="4">
        <v>3.27E-2</v>
      </c>
      <c r="Q1354" s="58">
        <v>282077.78000000003</v>
      </c>
      <c r="R1354" s="58">
        <v>207900.77</v>
      </c>
      <c r="S1354" s="58"/>
      <c r="T1354" s="58">
        <v>22624.87</v>
      </c>
      <c r="U1354" s="58">
        <f t="shared" si="223"/>
        <v>489978.55000000005</v>
      </c>
      <c r="V1354" s="14">
        <f t="shared" si="222"/>
        <v>0</v>
      </c>
      <c r="W1354" s="77"/>
      <c r="X1354" s="85">
        <f t="shared" si="216"/>
        <v>0</v>
      </c>
      <c r="Y1354" s="21">
        <f t="shared" si="220"/>
        <v>3.317378870262111E-2</v>
      </c>
      <c r="AA1354" s="55">
        <f t="shared" si="224"/>
        <v>281518.17000000004</v>
      </c>
      <c r="AB1354" s="55">
        <f t="shared" si="225"/>
        <v>-0.23000000044703484</v>
      </c>
      <c r="AC1354" s="55">
        <f t="shared" si="226"/>
        <v>8486162.7510684934</v>
      </c>
    </row>
    <row r="1355" spans="1:29">
      <c r="A1355" t="s">
        <v>370</v>
      </c>
      <c r="B1355" s="16" t="str">
        <f>INDEX(emprunts!C:C,MATCH($A1355,emprunts!A:A,0))</f>
        <v>CDC</v>
      </c>
      <c r="C1355" s="18">
        <f>INDEX(emprunts!M:M,MATCH($A1355,emprunts!$A:$A,0))</f>
        <v>42370</v>
      </c>
      <c r="D1355" s="18">
        <f>IF(INDEX(emprunts!O:O,MATCH($A1355,emprunts!$A:$A,0))="",INDEX(emprunts!N:N,MATCH($A1355,emprunts!$A:$A,0)),MIN(INDEX(emprunts!N:N,MATCH($A1355,emprunts!$A:$A,0)),INDEX(emprunts!O:O,MATCH($A1355,emprunts!$A:$A,0))))</f>
        <v>47849</v>
      </c>
      <c r="E1355" s="52">
        <f>INDEX(emprunts!I:I,MATCH($A1355,emprunts!$A:$A,0))</f>
        <v>15</v>
      </c>
      <c r="F1355" s="18" t="str">
        <f>INDEX(emprunts!P:P,MATCH($A1355,emprunts!$A:$A,0))</f>
        <v>Livret A</v>
      </c>
      <c r="G1355" s="126" t="str">
        <f>IF(LEFT(A1355,3)="vx_","vx",INDEX(Categorie,MATCH($A1355,emprunts!$A$2:$A$149,0)))</f>
        <v>Livr_A</v>
      </c>
      <c r="H1355">
        <v>2018</v>
      </c>
      <c r="I1355">
        <f t="shared" si="215"/>
        <v>1</v>
      </c>
      <c r="N1355"/>
      <c r="O1355" s="58">
        <v>3913194</v>
      </c>
      <c r="P1355" s="4">
        <v>1.49E-2</v>
      </c>
      <c r="Q1355" s="58">
        <v>61348.7</v>
      </c>
      <c r="R1355" s="58">
        <v>319444.44</v>
      </c>
      <c r="S1355" s="58"/>
      <c r="T1355" s="58">
        <v>14430.51</v>
      </c>
      <c r="U1355" s="58">
        <f t="shared" si="223"/>
        <v>380793.14</v>
      </c>
      <c r="V1355" s="14">
        <f t="shared" si="222"/>
        <v>0</v>
      </c>
      <c r="W1355" s="77"/>
      <c r="X1355" s="85">
        <f t="shared" si="216"/>
        <v>0</v>
      </c>
      <c r="Y1355" s="21">
        <f t="shared" si="220"/>
        <v>1.4813956600580188E-2</v>
      </c>
      <c r="AA1355" s="55">
        <f t="shared" si="224"/>
        <v>60170.69999999999</v>
      </c>
      <c r="AB1355" s="55">
        <f t="shared" si="225"/>
        <v>-0.55999999959021807</v>
      </c>
      <c r="AC1355" s="55">
        <f t="shared" si="226"/>
        <v>4061757.5454246579</v>
      </c>
    </row>
    <row r="1356" spans="1:29">
      <c r="A1356" t="s">
        <v>371</v>
      </c>
      <c r="B1356" s="16" t="str">
        <f>INDEX(emprunts!C:C,MATCH($A1356,emprunts!A:A,0))</f>
        <v>Arkea</v>
      </c>
      <c r="C1356" s="18">
        <f>INDEX(emprunts!M:M,MATCH($A1356,emprunts!$A:$A,0))</f>
        <v>42408</v>
      </c>
      <c r="D1356" s="18">
        <f>IF(INDEX(emprunts!O:O,MATCH($A1356,emprunts!$A:$A,0))="",INDEX(emprunts!N:N,MATCH($A1356,emprunts!$A:$A,0)),MIN(INDEX(emprunts!N:N,MATCH($A1356,emprunts!$A:$A,0)),INDEX(emprunts!O:O,MATCH($A1356,emprunts!$A:$A,0))))</f>
        <v>49704</v>
      </c>
      <c r="E1356" s="52">
        <f>INDEX(emprunts!I:I,MATCH($A1356,emprunts!$A:$A,0))</f>
        <v>20</v>
      </c>
      <c r="F1356" s="18" t="str">
        <f>INDEX(emprunts!P:P,MATCH($A1356,emprunts!$A:$A,0))</f>
        <v>Fixe</v>
      </c>
      <c r="G1356" s="126" t="str">
        <f>IF(LEFT(A1356,3)="vx_","vx",INDEX(Categorie,MATCH($A1356,emprunts!$A$2:$A$149,0)))</f>
        <v>Non_st</v>
      </c>
      <c r="H1356">
        <v>2018</v>
      </c>
      <c r="I1356">
        <f t="shared" si="215"/>
        <v>1</v>
      </c>
      <c r="N1356"/>
      <c r="O1356" s="58">
        <v>8889737</v>
      </c>
      <c r="P1356" s="4">
        <v>2.3699999999999999E-2</v>
      </c>
      <c r="Q1356" s="58">
        <v>217724.49</v>
      </c>
      <c r="R1356" s="58">
        <v>412139.11</v>
      </c>
      <c r="S1356" s="58"/>
      <c r="T1356" s="58">
        <v>35262.620000000003</v>
      </c>
      <c r="U1356" s="58">
        <f t="shared" si="223"/>
        <v>629863.6</v>
      </c>
      <c r="V1356" s="14">
        <f t="shared" si="222"/>
        <v>0</v>
      </c>
      <c r="W1356" s="77"/>
      <c r="X1356" s="85">
        <f t="shared" si="216"/>
        <v>0</v>
      </c>
      <c r="Y1356" s="21">
        <f t="shared" si="220"/>
        <v>2.3822331931679964E-2</v>
      </c>
      <c r="AA1356" s="55">
        <f t="shared" si="224"/>
        <v>216089.66999999998</v>
      </c>
      <c r="AB1356" s="55">
        <f t="shared" si="225"/>
        <v>0.10999999940395355</v>
      </c>
      <c r="AC1356" s="55">
        <f t="shared" si="226"/>
        <v>9070886.537041096</v>
      </c>
    </row>
    <row r="1357" spans="1:29" ht="30">
      <c r="A1357" s="1" t="s">
        <v>488</v>
      </c>
      <c r="B1357" s="16" t="str">
        <f>INDEX(emprunts!C:C,MATCH($A1357,emprunts!A:A,0))</f>
        <v>Dexia CL</v>
      </c>
      <c r="C1357" s="18">
        <f>INDEX(emprunts!M:M,MATCH($A1357,emprunts!$A:$A,0))</f>
        <v>42644</v>
      </c>
      <c r="D1357" s="18">
        <f>IF(INDEX(emprunts!O:O,MATCH($A1357,emprunts!$A:$A,0))="",INDEX(emprunts!N:N,MATCH($A1357,emprunts!$A:$A,0)),MIN(INDEX(emprunts!N:N,MATCH($A1357,emprunts!$A:$A,0)),INDEX(emprunts!O:O,MATCH($A1357,emprunts!$A:$A,0))))</f>
        <v>49857</v>
      </c>
      <c r="E1357" s="52">
        <f>INDEX(emprunts!I:I,MATCH($A1357,emprunts!$A:$A,0))</f>
        <v>19.75</v>
      </c>
      <c r="F1357" s="18" t="str">
        <f>INDEX(emprunts!P:P,MATCH($A1357,emprunts!$A:$A,0))</f>
        <v>Fixe</v>
      </c>
      <c r="G1357" s="126" t="str">
        <f>IF(LEFT(A1357,3)="vx_","vx",INDEX(Categorie,MATCH($A1357,emprunts!$A$2:$A$149,0)))</f>
        <v>Restr_aidé</v>
      </c>
      <c r="H1357">
        <v>2018</v>
      </c>
      <c r="I1357">
        <f t="shared" si="215"/>
        <v>1</v>
      </c>
      <c r="N1357" s="58"/>
      <c r="O1357" s="58">
        <v>9813159</v>
      </c>
      <c r="P1357" s="4">
        <v>4.1000000000000002E-2</v>
      </c>
      <c r="Q1357" s="58">
        <v>416594.22</v>
      </c>
      <c r="R1357" s="58">
        <v>332210.21000000002</v>
      </c>
      <c r="S1357" s="58"/>
      <c r="T1357" s="58">
        <v>202028.41</v>
      </c>
      <c r="U1357" s="58">
        <f t="shared" si="223"/>
        <v>748804.42999999993</v>
      </c>
      <c r="V1357" s="14">
        <f t="shared" si="222"/>
        <v>0</v>
      </c>
      <c r="W1357" s="77"/>
      <c r="X1357" s="85">
        <f t="shared" si="216"/>
        <v>0</v>
      </c>
      <c r="Y1357" s="21">
        <f t="shared" si="220"/>
        <v>4.1173430804784784E-2</v>
      </c>
      <c r="AA1357" s="55">
        <f t="shared" si="224"/>
        <v>409754.83999999997</v>
      </c>
      <c r="AB1357" s="55">
        <f t="shared" si="225"/>
        <v>0.21000000089406967</v>
      </c>
      <c r="AC1357" s="55">
        <f t="shared" si="226"/>
        <v>9951923.6553972606</v>
      </c>
    </row>
    <row r="1358" spans="1:29">
      <c r="A1358" s="1" t="s">
        <v>524</v>
      </c>
      <c r="B1358" s="16" t="str">
        <f>INDEX(emprunts!C:C,MATCH($A1358,emprunts!A:A,0))</f>
        <v>Dexia CL</v>
      </c>
      <c r="C1358" s="18">
        <f>INDEX(emprunts!M:M,MATCH($A1358,emprunts!$A:$A,0))</f>
        <v>42644</v>
      </c>
      <c r="D1358" s="18">
        <f>IF(INDEX(emprunts!O:O,MATCH($A1358,emprunts!$A:$A,0))="",INDEX(emprunts!N:N,MATCH($A1358,emprunts!$A:$A,0)),MIN(INDEX(emprunts!N:N,MATCH($A1358,emprunts!$A:$A,0)),INDEX(emprunts!O:O,MATCH($A1358,emprunts!$A:$A,0))))</f>
        <v>49857</v>
      </c>
      <c r="E1358" s="52">
        <f>INDEX(emprunts!I:I,MATCH($A1358,emprunts!$A:$A,0))</f>
        <v>19.75</v>
      </c>
      <c r="F1358" s="18" t="str">
        <f>INDEX(emprunts!P:P,MATCH($A1358,emprunts!$A:$A,0))</f>
        <v>Fixe</v>
      </c>
      <c r="G1358" s="126" t="str">
        <f>IF(LEFT(A1358,3)="vx_","vx",INDEX(Categorie,MATCH($A1358,emprunts!$A$2:$A$149,0)))</f>
        <v>Non_st</v>
      </c>
      <c r="H1358">
        <v>2018</v>
      </c>
      <c r="I1358">
        <f t="shared" si="215"/>
        <v>1</v>
      </c>
      <c r="N1358" s="58"/>
      <c r="O1358" s="58">
        <v>2814008</v>
      </c>
      <c r="P1358" s="4">
        <v>2.7799999999999998E-2</v>
      </c>
      <c r="Q1358" s="58">
        <v>81116.17</v>
      </c>
      <c r="R1358" s="58">
        <v>95264.15</v>
      </c>
      <c r="S1358" s="58"/>
      <c r="T1358" s="58">
        <v>39337.49</v>
      </c>
      <c r="U1358" s="58">
        <f t="shared" si="223"/>
        <v>176380.32</v>
      </c>
      <c r="V1358" s="14">
        <f t="shared" si="222"/>
        <v>0</v>
      </c>
      <c r="W1358" s="77"/>
      <c r="X1358" s="85">
        <f t="shared" si="216"/>
        <v>0</v>
      </c>
      <c r="Y1358" s="21">
        <f t="shared" si="220"/>
        <v>2.7960425037798577E-2</v>
      </c>
      <c r="AA1358" s="55">
        <f t="shared" si="224"/>
        <v>79793.460000000006</v>
      </c>
      <c r="AB1358" s="55">
        <f t="shared" si="225"/>
        <v>0.14999999990686774</v>
      </c>
      <c r="AC1358" s="55">
        <f t="shared" si="226"/>
        <v>2853799.9652054799</v>
      </c>
    </row>
    <row r="1359" spans="1:29" ht="30">
      <c r="A1359" s="1" t="s">
        <v>494</v>
      </c>
      <c r="B1359" s="16" t="str">
        <f>INDEX(emprunts!C:C,MATCH($A1359,emprunts!A:A,0))</f>
        <v>Dexia CL</v>
      </c>
      <c r="C1359" s="18">
        <f>INDEX(emprunts!M:M,MATCH($A1359,emprunts!$A:$A,0))</f>
        <v>42675</v>
      </c>
      <c r="D1359" s="18">
        <f>IF(INDEX(emprunts!O:O,MATCH($A1359,emprunts!$A:$A,0))="",INDEX(emprunts!N:N,MATCH($A1359,emprunts!$A:$A,0)),MIN(INDEX(emprunts!N:N,MATCH($A1359,emprunts!$A:$A,0)),INDEX(emprunts!O:O,MATCH($A1359,emprunts!$A:$A,0))))</f>
        <v>49644</v>
      </c>
      <c r="E1359" s="52">
        <f>INDEX(emprunts!I:I,MATCH($A1359,emprunts!$A:$A,0))</f>
        <v>19.079999999999998</v>
      </c>
      <c r="F1359" s="18" t="str">
        <f>INDEX(emprunts!P:P,MATCH($A1359,emprunts!$A:$A,0))</f>
        <v>Fixe</v>
      </c>
      <c r="G1359" s="126" t="str">
        <f>IF(LEFT(A1359,3)="vx_","vx",INDEX(Categorie,MATCH($A1359,emprunts!$A$2:$A$149,0)))</f>
        <v>Restr_aidé</v>
      </c>
      <c r="H1359">
        <v>2018</v>
      </c>
      <c r="I1359">
        <f t="shared" si="215"/>
        <v>1</v>
      </c>
      <c r="N1359"/>
      <c r="O1359" s="58">
        <v>8376794</v>
      </c>
      <c r="P1359" s="4">
        <v>3.0099999999999998E-2</v>
      </c>
      <c r="Q1359" s="58">
        <v>262423.71000000002</v>
      </c>
      <c r="R1359" s="58">
        <v>308737.86</v>
      </c>
      <c r="S1359" s="58"/>
      <c r="T1359" s="58">
        <v>20802.37</v>
      </c>
      <c r="U1359" s="58">
        <f t="shared" si="223"/>
        <v>571161.57000000007</v>
      </c>
      <c r="V1359" s="14">
        <f t="shared" si="222"/>
        <v>0</v>
      </c>
      <c r="W1359" s="77"/>
      <c r="X1359" s="85">
        <f t="shared" si="216"/>
        <v>0</v>
      </c>
      <c r="Y1359" s="21">
        <f t="shared" si="220"/>
        <v>3.0754992032435657E-2</v>
      </c>
      <c r="AA1359" s="55">
        <f t="shared" si="224"/>
        <v>261657.01</v>
      </c>
      <c r="AB1359" s="55">
        <f t="shared" si="225"/>
        <v>-0.14000000059604645</v>
      </c>
      <c r="AC1359" s="55">
        <f t="shared" si="226"/>
        <v>8507789.8808767125</v>
      </c>
    </row>
    <row r="1360" spans="1:29">
      <c r="A1360" s="1" t="s">
        <v>523</v>
      </c>
      <c r="B1360" s="16" t="str">
        <f>INDEX(emprunts!C:C,MATCH($A1360,emprunts!A:A,0))</f>
        <v>Dexia CL</v>
      </c>
      <c r="C1360" s="18">
        <f>INDEX(emprunts!M:M,MATCH($A1360,emprunts!$A:$A,0))</f>
        <v>42675</v>
      </c>
      <c r="D1360" s="18">
        <f>IF(INDEX(emprunts!O:O,MATCH($A1360,emprunts!$A:$A,0))="",INDEX(emprunts!N:N,MATCH($A1360,emprunts!$A:$A,0)),MIN(INDEX(emprunts!N:N,MATCH($A1360,emprunts!$A:$A,0)),INDEX(emprunts!O:O,MATCH($A1360,emprunts!$A:$A,0))))</f>
        <v>49614</v>
      </c>
      <c r="E1360" s="52">
        <f>INDEX(emprunts!I:I,MATCH($A1360,emprunts!$A:$A,0))</f>
        <v>19</v>
      </c>
      <c r="F1360" s="18" t="str">
        <f>INDEX(emprunts!P:P,MATCH($A1360,emprunts!$A:$A,0))</f>
        <v>Fixe</v>
      </c>
      <c r="G1360" s="126" t="str">
        <f>IF(LEFT(A1360,3)="vx_","vx",INDEX(Categorie,MATCH($A1360,emprunts!$A$2:$A$149,0)))</f>
        <v>Non_st</v>
      </c>
      <c r="H1360">
        <v>2018</v>
      </c>
      <c r="I1360">
        <f t="shared" si="215"/>
        <v>1</v>
      </c>
      <c r="N1360"/>
      <c r="O1360" s="58">
        <v>15858836</v>
      </c>
      <c r="P1360" s="4">
        <v>2.7799999999999998E-2</v>
      </c>
      <c r="Q1360" s="58">
        <v>458472.15</v>
      </c>
      <c r="R1360" s="58">
        <v>584498.43999999994</v>
      </c>
      <c r="S1360" s="58"/>
      <c r="T1360" s="58">
        <v>72686.33</v>
      </c>
      <c r="U1360" s="58">
        <f t="shared" si="223"/>
        <v>1042970.59</v>
      </c>
      <c r="V1360" s="14">
        <f t="shared" si="222"/>
        <v>0</v>
      </c>
      <c r="W1360" s="77"/>
      <c r="X1360" s="85">
        <f t="shared" si="216"/>
        <v>0</v>
      </c>
      <c r="Y1360" s="21">
        <f t="shared" si="220"/>
        <v>2.8298121946314581E-2</v>
      </c>
      <c r="AA1360" s="55">
        <f t="shared" si="224"/>
        <v>455793.19999999995</v>
      </c>
      <c r="AB1360" s="55">
        <f t="shared" si="225"/>
        <v>-0.56000000052154064</v>
      </c>
      <c r="AC1360" s="55">
        <f t="shared" si="226"/>
        <v>16106835.671452055</v>
      </c>
    </row>
    <row r="1361" spans="1:29" ht="30">
      <c r="A1361" s="1" t="s">
        <v>491</v>
      </c>
      <c r="B1361" s="16" t="str">
        <f>INDEX(emprunts!C:C,MATCH($A1361,emprunts!A:A,0))</f>
        <v>Dexia CL</v>
      </c>
      <c r="C1361" s="18">
        <f>INDEX(emprunts!M:M,MATCH($A1361,emprunts!$A:$A,0))</f>
        <v>43040</v>
      </c>
      <c r="D1361" s="18">
        <f>IF(INDEX(emprunts!O:O,MATCH($A1361,emprunts!$A:$A,0))="",INDEX(emprunts!N:N,MATCH($A1361,emprunts!$A:$A,0)),MIN(INDEX(emprunts!N:N,MATCH($A1361,emprunts!$A:$A,0)),INDEX(emprunts!O:O,MATCH($A1361,emprunts!$A:$A,0))))</f>
        <v>50345</v>
      </c>
      <c r="E1361" s="52">
        <f>INDEX(emprunts!I:I,MATCH($A1361,emprunts!$A:$A,0))</f>
        <v>20</v>
      </c>
      <c r="F1361" s="18" t="str">
        <f>INDEX(emprunts!P:P,MATCH($A1361,emprunts!$A:$A,0))</f>
        <v>Fixe</v>
      </c>
      <c r="G1361" s="126" t="str">
        <f>IF(LEFT(A1361,3)="vx_","vx",INDEX(Categorie,MATCH($A1361,emprunts!$A$2:$A$149,0)))</f>
        <v>Restr_aidé</v>
      </c>
      <c r="H1361">
        <v>2018</v>
      </c>
      <c r="I1361">
        <f t="shared" si="215"/>
        <v>1</v>
      </c>
      <c r="N1361"/>
      <c r="O1361" s="58">
        <v>10310969</v>
      </c>
      <c r="P1361" s="4">
        <v>3.5900000000000001E-2</v>
      </c>
      <c r="Q1361" s="58">
        <v>382697.04</v>
      </c>
      <c r="R1361" s="58">
        <v>321555.05</v>
      </c>
      <c r="S1361" s="58"/>
      <c r="T1361" s="58">
        <v>61006.57</v>
      </c>
      <c r="U1361" s="58">
        <f t="shared" si="223"/>
        <v>704252.09</v>
      </c>
      <c r="V1361" s="14">
        <f t="shared" si="222"/>
        <v>0</v>
      </c>
      <c r="W1361" s="77"/>
      <c r="X1361" s="85">
        <f t="shared" si="216"/>
        <v>0</v>
      </c>
      <c r="Y1361" s="21">
        <f t="shared" si="220"/>
        <v>3.6463893377493332E-2</v>
      </c>
      <c r="AA1361" s="55">
        <f t="shared" si="224"/>
        <v>380794.51</v>
      </c>
      <c r="AB1361" s="55">
        <f t="shared" si="225"/>
        <v>5.000000074505806E-2</v>
      </c>
      <c r="AC1361" s="55">
        <f t="shared" si="226"/>
        <v>10443056.80849315</v>
      </c>
    </row>
    <row r="1362" spans="1:29">
      <c r="A1362" s="1" t="s">
        <v>492</v>
      </c>
      <c r="B1362" s="16" t="str">
        <f>INDEX(emprunts!C:C,MATCH($A1362,emprunts!A:A,0))</f>
        <v>Dexia CL</v>
      </c>
      <c r="C1362" s="18">
        <f>INDEX(emprunts!M:M,MATCH($A1362,emprunts!$A:$A,0))</f>
        <v>43040</v>
      </c>
      <c r="D1362" s="18">
        <f>IF(INDEX(emprunts!O:O,MATCH($A1362,emprunts!$A:$A,0))="",INDEX(emprunts!N:N,MATCH($A1362,emprunts!$A:$A,0)),MIN(INDEX(emprunts!N:N,MATCH($A1362,emprunts!$A:$A,0)),INDEX(emprunts!O:O,MATCH($A1362,emprunts!$A:$A,0))))</f>
        <v>50345</v>
      </c>
      <c r="E1362" s="52">
        <f>INDEX(emprunts!I:I,MATCH($A1362,emprunts!$A:$A,0))</f>
        <v>20</v>
      </c>
      <c r="F1362" s="18" t="str">
        <f>INDEX(emprunts!P:P,MATCH($A1362,emprunts!$A:$A,0))</f>
        <v>Fixe</v>
      </c>
      <c r="G1362" s="126" t="str">
        <f>IF(LEFT(A1362,3)="vx_","vx",INDEX(Categorie,MATCH($A1362,emprunts!$A$2:$A$149,0)))</f>
        <v>Non_st</v>
      </c>
      <c r="H1362">
        <v>2018</v>
      </c>
      <c r="I1362">
        <f t="shared" si="215"/>
        <v>1</v>
      </c>
      <c r="N1362"/>
      <c r="O1362" s="58">
        <v>16485876</v>
      </c>
      <c r="P1362" s="4">
        <v>2.7799999999999998E-2</v>
      </c>
      <c r="Q1362" s="58">
        <v>473993.06</v>
      </c>
      <c r="R1362" s="58">
        <v>514123.98</v>
      </c>
      <c r="S1362" s="58"/>
      <c r="T1362" s="58">
        <v>75560.27</v>
      </c>
      <c r="U1362" s="58">
        <f t="shared" si="223"/>
        <v>988117.04</v>
      </c>
      <c r="V1362" s="14">
        <f t="shared" si="222"/>
        <v>0</v>
      </c>
      <c r="W1362" s="77"/>
      <c r="X1362" s="85">
        <f t="shared" si="216"/>
        <v>0</v>
      </c>
      <c r="Y1362" s="21">
        <f t="shared" si="220"/>
        <v>2.8246677219515286E-2</v>
      </c>
      <c r="AA1362" s="55">
        <f t="shared" si="224"/>
        <v>471636.66</v>
      </c>
      <c r="AB1362" s="55">
        <f t="shared" si="225"/>
        <v>-1.9999999552965164E-2</v>
      </c>
      <c r="AC1362" s="55">
        <f t="shared" si="226"/>
        <v>16697066.927013699</v>
      </c>
    </row>
    <row r="1363" spans="1:29" ht="30">
      <c r="A1363" s="1" t="s">
        <v>500</v>
      </c>
      <c r="B1363" s="16" t="str">
        <f>INDEX(emprunts!C:C,MATCH($A1363,emprunts!A:A,0))</f>
        <v>Dexia CL</v>
      </c>
      <c r="C1363" s="18">
        <f>INDEX(emprunts!M:M,MATCH($A1363,emprunts!$A:$A,0))</f>
        <v>43040</v>
      </c>
      <c r="D1363" s="18">
        <f>IF(INDEX(emprunts!O:O,MATCH($A1363,emprunts!$A:$A,0))="",INDEX(emprunts!N:N,MATCH($A1363,emprunts!$A:$A,0)),MIN(INDEX(emprunts!N:N,MATCH($A1363,emprunts!$A:$A,0)),INDEX(emprunts!O:O,MATCH($A1363,emprunts!$A:$A,0))))</f>
        <v>49249</v>
      </c>
      <c r="E1363" s="52">
        <f>INDEX(emprunts!I:I,MATCH($A1363,emprunts!$A:$A,0))</f>
        <v>17</v>
      </c>
      <c r="F1363" s="18" t="str">
        <f>INDEX(emprunts!P:P,MATCH($A1363,emprunts!$A:$A,0))</f>
        <v>Fixe</v>
      </c>
      <c r="G1363" s="126" t="str">
        <f>IF(LEFT(A1363,3)="vx_","vx",INDEX(Categorie,MATCH($A1363,emprunts!$A$2:$A$149,0)))</f>
        <v>Restr_aidé</v>
      </c>
      <c r="H1363">
        <v>2018</v>
      </c>
      <c r="I1363">
        <f t="shared" si="215"/>
        <v>1</v>
      </c>
      <c r="N1363"/>
      <c r="O1363" s="58">
        <v>8889878</v>
      </c>
      <c r="P1363" s="4">
        <v>3.7199999999999997E-2</v>
      </c>
      <c r="Q1363" s="58">
        <v>345044.13</v>
      </c>
      <c r="R1363" s="58">
        <v>357880.3</v>
      </c>
      <c r="S1363" s="58"/>
      <c r="T1363" s="58">
        <v>54524.58</v>
      </c>
      <c r="U1363" s="58">
        <f t="shared" si="223"/>
        <v>702924.42999999993</v>
      </c>
      <c r="V1363" s="14">
        <f t="shared" si="222"/>
        <v>0</v>
      </c>
      <c r="W1363" s="77"/>
      <c r="X1363" s="85">
        <f t="shared" si="216"/>
        <v>0</v>
      </c>
      <c r="Y1363" s="21">
        <f t="shared" si="220"/>
        <v>3.7909131876713804E-2</v>
      </c>
      <c r="AA1363" s="55">
        <f t="shared" si="224"/>
        <v>342849.13</v>
      </c>
      <c r="AB1363" s="55">
        <f t="shared" si="225"/>
        <v>0.30000000074505806</v>
      </c>
      <c r="AC1363" s="55">
        <f t="shared" si="226"/>
        <v>9043972.0728767123</v>
      </c>
    </row>
    <row r="1364" spans="1:29">
      <c r="A1364" s="1" t="s">
        <v>519</v>
      </c>
      <c r="B1364" s="16" t="str">
        <f>INDEX(emprunts!C:C,MATCH($A1364,emprunts!A:A,0))</f>
        <v>Dexia CL</v>
      </c>
      <c r="C1364" s="18">
        <f>INDEX(emprunts!M:M,MATCH($A1364,emprunts!$A:$A,0))</f>
        <v>43040</v>
      </c>
      <c r="D1364" s="18">
        <f>IF(INDEX(emprunts!O:O,MATCH($A1364,emprunts!$A:$A,0))="",INDEX(emprunts!N:N,MATCH($A1364,emprunts!$A:$A,0)),MIN(INDEX(emprunts!N:N,MATCH($A1364,emprunts!$A:$A,0)),INDEX(emprunts!O:O,MATCH($A1364,emprunts!$A:$A,0))))</f>
        <v>49249</v>
      </c>
      <c r="E1364" s="52">
        <f>INDEX(emprunts!I:I,MATCH($A1364,emprunts!$A:$A,0))</f>
        <v>17</v>
      </c>
      <c r="F1364" s="18" t="str">
        <f>INDEX(emprunts!P:P,MATCH($A1364,emprunts!$A:$A,0))</f>
        <v>Fixe</v>
      </c>
      <c r="G1364" s="126" t="str">
        <f>IF(LEFT(A1364,3)="vx_","vx",INDEX(Categorie,MATCH($A1364,emprunts!$A$2:$A$149,0)))</f>
        <v>Non_st</v>
      </c>
      <c r="H1364">
        <v>2018</v>
      </c>
      <c r="I1364">
        <f t="shared" si="215"/>
        <v>1</v>
      </c>
      <c r="N1364"/>
      <c r="O1364" s="58">
        <v>2883903</v>
      </c>
      <c r="P1364" s="4">
        <v>2.7799999999999998E-2</v>
      </c>
      <c r="Q1364" s="58">
        <v>83645.83</v>
      </c>
      <c r="R1364" s="58">
        <v>116097.43</v>
      </c>
      <c r="S1364" s="58"/>
      <c r="T1364" s="58">
        <v>13217.89</v>
      </c>
      <c r="U1364" s="58">
        <f t="shared" si="223"/>
        <v>199743.26</v>
      </c>
      <c r="V1364" s="14">
        <f t="shared" si="222"/>
        <v>0</v>
      </c>
      <c r="W1364" s="77"/>
      <c r="X1364" s="85">
        <f t="shared" si="216"/>
        <v>0</v>
      </c>
      <c r="Y1364" s="21">
        <f t="shared" si="220"/>
        <v>2.8328831493281123E-2</v>
      </c>
      <c r="AA1364" s="55">
        <f t="shared" si="224"/>
        <v>83113.72</v>
      </c>
      <c r="AB1364" s="55">
        <f t="shared" si="225"/>
        <v>0.43000000016763806</v>
      </c>
      <c r="AC1364" s="55">
        <f t="shared" si="226"/>
        <v>2933891.5733150681</v>
      </c>
    </row>
    <row r="1365" spans="1:29" ht="30">
      <c r="A1365" s="1" t="s">
        <v>499</v>
      </c>
      <c r="B1365" s="16" t="str">
        <f>INDEX(emprunts!C:C,MATCH($A1365,emprunts!A:A,0))</f>
        <v>Dexia CL</v>
      </c>
      <c r="C1365" s="18">
        <f>INDEX(emprunts!M:M,MATCH($A1365,emprunts!$A:$A,0))</f>
        <v>43101</v>
      </c>
      <c r="D1365" s="18">
        <f>IF(INDEX(emprunts!O:O,MATCH($A1365,emprunts!$A:$A,0))="",INDEX(emprunts!N:N,MATCH($A1365,emprunts!$A:$A,0)),MIN(INDEX(emprunts!N:N,MATCH($A1365,emprunts!$A:$A,0)),INDEX(emprunts!O:O,MATCH($A1365,emprunts!$A:$A,0))))</f>
        <v>48580</v>
      </c>
      <c r="E1365" s="52">
        <f>INDEX(emprunts!I:I,MATCH($A1365,emprunts!$A:$A,0))</f>
        <v>15</v>
      </c>
      <c r="F1365" s="18" t="str">
        <f>INDEX(emprunts!P:P,MATCH($A1365,emprunts!$A:$A,0))</f>
        <v>Fixe</v>
      </c>
      <c r="G1365" s="126" t="str">
        <f>IF(LEFT(A1365,3)="vx_","vx",INDEX(Categorie,MATCH($A1365,emprunts!$A$2:$A$149,0)))</f>
        <v>Restr_aidé</v>
      </c>
      <c r="H1365">
        <v>2018</v>
      </c>
      <c r="I1365">
        <f t="shared" si="215"/>
        <v>1</v>
      </c>
      <c r="N1365"/>
      <c r="O1365" s="58">
        <v>6667443</v>
      </c>
      <c r="P1365" s="4">
        <v>2.7300000000000001E-2</v>
      </c>
      <c r="Q1365" s="58">
        <v>0</v>
      </c>
      <c r="R1365" s="58">
        <v>0</v>
      </c>
      <c r="S1365" s="58"/>
      <c r="T1365" s="58">
        <v>182021.19</v>
      </c>
      <c r="U1365" s="58">
        <f t="shared" si="223"/>
        <v>0</v>
      </c>
      <c r="V1365" s="14">
        <f t="shared" si="222"/>
        <v>0</v>
      </c>
      <c r="W1365" s="77"/>
      <c r="X1365" s="85">
        <f t="shared" si="216"/>
        <v>0</v>
      </c>
      <c r="Y1365" s="21">
        <f t="shared" si="220"/>
        <v>2.7374999413461162E-2</v>
      </c>
      <c r="AA1365" s="55">
        <f t="shared" si="224"/>
        <v>182021.19</v>
      </c>
      <c r="AB1365" s="55" t="str">
        <f t="shared" si="225"/>
        <v/>
      </c>
      <c r="AC1365" s="55">
        <f t="shared" si="226"/>
        <v>6649176.0328767123</v>
      </c>
    </row>
    <row r="1366" spans="1:29">
      <c r="A1366" s="1" t="s">
        <v>521</v>
      </c>
      <c r="B1366" s="16" t="str">
        <f>INDEX(emprunts!C:C,MATCH($A1366,emprunts!A:A,0))</f>
        <v>Dexia CL</v>
      </c>
      <c r="C1366" s="18">
        <f>INDEX(emprunts!M:M,MATCH($A1366,emprunts!$A:$A,0))</f>
        <v>43101</v>
      </c>
      <c r="D1366" s="18">
        <f>IF(INDEX(emprunts!O:O,MATCH($A1366,emprunts!$A:$A,0))="",INDEX(emprunts!N:N,MATCH($A1366,emprunts!$A:$A,0)),MIN(INDEX(emprunts!N:N,MATCH($A1366,emprunts!$A:$A,0)),INDEX(emprunts!O:O,MATCH($A1366,emprunts!$A:$A,0))))</f>
        <v>48580</v>
      </c>
      <c r="E1366" s="52">
        <f>INDEX(emprunts!I:I,MATCH($A1366,emprunts!$A:$A,0))</f>
        <v>15</v>
      </c>
      <c r="F1366" s="18" t="str">
        <f>INDEX(emprunts!P:P,MATCH($A1366,emprunts!$A:$A,0))</f>
        <v>Fixe</v>
      </c>
      <c r="G1366" s="126" t="str">
        <f>IF(LEFT(A1366,3)="vx_","vx",INDEX(Categorie,MATCH($A1366,emprunts!$A$2:$A$149,0)))</f>
        <v>Non_st</v>
      </c>
      <c r="H1366">
        <v>2018</v>
      </c>
      <c r="I1366">
        <f t="shared" si="215"/>
        <v>1</v>
      </c>
      <c r="N1366"/>
      <c r="O1366" s="58">
        <v>3000000</v>
      </c>
      <c r="P1366" s="4">
        <v>2.7300000000000001E-2</v>
      </c>
      <c r="Q1366" s="58">
        <v>0</v>
      </c>
      <c r="R1366" s="58">
        <v>0</v>
      </c>
      <c r="S1366" s="58"/>
      <c r="T1366" s="58">
        <v>81900</v>
      </c>
      <c r="U1366" s="58">
        <f t="shared" si="223"/>
        <v>0</v>
      </c>
      <c r="V1366" s="14">
        <f t="shared" si="222"/>
        <v>0</v>
      </c>
      <c r="W1366" s="77"/>
      <c r="X1366" s="85">
        <f t="shared" si="216"/>
        <v>0</v>
      </c>
      <c r="Y1366" s="21">
        <f t="shared" si="220"/>
        <v>2.7375E-2</v>
      </c>
      <c r="AA1366" s="55">
        <f t="shared" si="224"/>
        <v>81900</v>
      </c>
      <c r="AB1366" s="55" t="str">
        <f t="shared" si="225"/>
        <v/>
      </c>
      <c r="AC1366" s="55">
        <f t="shared" si="226"/>
        <v>2991780.8219178081</v>
      </c>
    </row>
    <row r="1367" spans="1:29" ht="30">
      <c r="A1367" s="1" t="s">
        <v>505</v>
      </c>
      <c r="B1367" s="16" t="str">
        <f>INDEX(emprunts!C:C,MATCH($A1367,emprunts!A:A,0))</f>
        <v>Caisse d'Épargne</v>
      </c>
      <c r="C1367" s="18">
        <f>INDEX(emprunts!M:M,MATCH($A1367,emprunts!$A:$A,0))</f>
        <v>43156</v>
      </c>
      <c r="D1367" s="18">
        <f>IF(INDEX(emprunts!O:O,MATCH($A1367,emprunts!$A:$A,0))="",INDEX(emprunts!N:N,MATCH($A1367,emprunts!$A:$A,0)),MIN(INDEX(emprunts!N:N,MATCH($A1367,emprunts!$A:$A,0)),INDEX(emprunts!O:O,MATCH($A1367,emprunts!$A:$A,0))))</f>
        <v>46078</v>
      </c>
      <c r="E1367" s="52">
        <f>INDEX(emprunts!I:I,MATCH($A1367,emprunts!$A:$A,0))</f>
        <v>8</v>
      </c>
      <c r="F1367" s="18" t="str">
        <f>INDEX(emprunts!P:P,MATCH($A1367,emprunts!$A:$A,0))</f>
        <v>Fixe</v>
      </c>
      <c r="G1367" s="126" t="str">
        <f>IF(LEFT(A1367,3)="vx_","vx",INDEX(Categorie,MATCH($A1367,emprunts!$A$2:$A$149,0)))</f>
        <v>Restr_sec</v>
      </c>
      <c r="H1367">
        <v>2018</v>
      </c>
      <c r="I1367">
        <f t="shared" si="215"/>
        <v>1</v>
      </c>
      <c r="N1367"/>
      <c r="O1367" s="58">
        <v>4675647</v>
      </c>
      <c r="P1367" s="4">
        <v>7.6E-3</v>
      </c>
      <c r="Q1367" s="58">
        <v>0</v>
      </c>
      <c r="R1367" s="58">
        <v>0</v>
      </c>
      <c r="S1367" s="58"/>
      <c r="T1367" s="58">
        <v>30105.97</v>
      </c>
      <c r="U1367" s="58">
        <f t="shared" si="223"/>
        <v>0</v>
      </c>
      <c r="V1367" s="14">
        <f t="shared" si="222"/>
        <v>0</v>
      </c>
      <c r="W1367" s="77"/>
      <c r="X1367" s="85">
        <f t="shared" si="216"/>
        <v>0</v>
      </c>
      <c r="Y1367" s="21">
        <f t="shared" si="220"/>
        <v>7.6058068804119193E-3</v>
      </c>
      <c r="AA1367" s="55">
        <f t="shared" si="224"/>
        <v>30105.97</v>
      </c>
      <c r="AB1367" s="55" t="str">
        <f t="shared" si="225"/>
        <v/>
      </c>
      <c r="AC1367" s="55">
        <f t="shared" si="226"/>
        <v>3958287.4602739722</v>
      </c>
    </row>
    <row r="1368" spans="1:29">
      <c r="Q1368" s="58"/>
      <c r="R1368" s="14"/>
      <c r="S1368" s="58"/>
      <c r="T1368" s="58"/>
      <c r="U1368" s="58"/>
      <c r="V1368" s="58"/>
      <c r="W1368" s="77"/>
      <c r="X1368" s="77"/>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enableFormatConditionsCalculation="0"/>
  <dimension ref="A1:AA221"/>
  <sheetViews>
    <sheetView workbookViewId="0">
      <pane ySplit="1" topLeftCell="A114" activePane="bottomLeft" state="frozenSplit"/>
      <selection activeCell="B13" sqref="B13"/>
      <selection pane="bottomLeft" activeCell="M1" sqref="M1"/>
    </sheetView>
  </sheetViews>
  <sheetFormatPr baseColWidth="10" defaultRowHeight="15" x14ac:dyDescent="0"/>
  <cols>
    <col min="1" max="1" width="6" bestFit="1" customWidth="1"/>
    <col min="2" max="2" width="7.33203125" customWidth="1"/>
    <col min="3" max="3" width="15" style="17" bestFit="1" customWidth="1"/>
    <col min="4" max="4" width="13.83203125" style="2" customWidth="1"/>
    <col min="5" max="5" width="10.6640625" style="14" customWidth="1"/>
    <col min="6" max="10" width="10.33203125" style="14" customWidth="1"/>
    <col min="11" max="11" width="8" customWidth="1"/>
    <col min="12" max="12" width="10.33203125" bestFit="1" customWidth="1"/>
    <col min="14" max="14" width="21.5" bestFit="1" customWidth="1"/>
    <col min="15" max="23" width="10.83203125" style="56"/>
  </cols>
  <sheetData>
    <row r="1" spans="1:27" s="7" customFormat="1" ht="45">
      <c r="A1" s="7" t="s">
        <v>161</v>
      </c>
      <c r="B1" s="7" t="s">
        <v>160</v>
      </c>
      <c r="C1" s="15" t="s">
        <v>1</v>
      </c>
      <c r="D1" s="8" t="s">
        <v>2</v>
      </c>
      <c r="E1" s="13" t="s">
        <v>136</v>
      </c>
      <c r="F1" s="13" t="s">
        <v>140</v>
      </c>
      <c r="G1" s="13" t="s">
        <v>138</v>
      </c>
      <c r="H1" s="13" t="s">
        <v>139</v>
      </c>
      <c r="I1" s="13" t="s">
        <v>141</v>
      </c>
      <c r="J1" s="13" t="s">
        <v>137</v>
      </c>
      <c r="K1" s="7" t="s">
        <v>142</v>
      </c>
      <c r="L1" s="7" t="s">
        <v>174</v>
      </c>
      <c r="M1" s="7" t="s">
        <v>143</v>
      </c>
      <c r="N1" s="7" t="s">
        <v>156</v>
      </c>
      <c r="O1" s="60" t="s">
        <v>482</v>
      </c>
      <c r="P1" s="60"/>
      <c r="Q1" s="60" t="s">
        <v>583</v>
      </c>
      <c r="R1" s="60" t="s">
        <v>595</v>
      </c>
      <c r="S1" s="60" t="s">
        <v>700</v>
      </c>
      <c r="T1" s="60" t="s">
        <v>699</v>
      </c>
      <c r="U1" s="60" t="s">
        <v>594</v>
      </c>
      <c r="V1" s="60" t="s">
        <v>482</v>
      </c>
      <c r="W1" s="60" t="s">
        <v>586</v>
      </c>
      <c r="X1" s="7" t="s">
        <v>564</v>
      </c>
      <c r="Y1" s="90" t="s">
        <v>565</v>
      </c>
      <c r="Z1" s="7" t="s">
        <v>567</v>
      </c>
      <c r="AA1" s="7" t="s">
        <v>568</v>
      </c>
    </row>
    <row r="2" spans="1:27">
      <c r="A2" s="1">
        <v>2000</v>
      </c>
      <c r="B2" s="1" t="s">
        <v>162</v>
      </c>
      <c r="C2" s="17" t="str">
        <f t="shared" ref="C2:C47" si="0">VLOOKUP(B2,preteurs,2,FALSE)</f>
        <v>CDC</v>
      </c>
      <c r="D2" s="2">
        <f>365041642.92*F</f>
        <v>55658724.831784979</v>
      </c>
      <c r="E2" s="14">
        <f>271684799.93*F</f>
        <v>41424395.856108882</v>
      </c>
      <c r="F2" s="14">
        <f>36707723.76*F</f>
        <v>5596909.6556109032</v>
      </c>
      <c r="G2" s="14">
        <f>14912331.49*F</f>
        <v>2273716.9062768258</v>
      </c>
      <c r="H2" s="14">
        <f>21795392.27*F</f>
        <v>3323192.7493340774</v>
      </c>
      <c r="I2" s="14">
        <v>0</v>
      </c>
      <c r="J2" s="14">
        <f>2258616.08*F</f>
        <v>344376.30154134211</v>
      </c>
      <c r="K2" s="12">
        <f t="shared" ref="K2:K65" si="1">IF(E2+F2=0,"",G2/(E2+F2))</f>
        <v>4.8355035691429606E-2</v>
      </c>
      <c r="L2" s="1" t="str">
        <f t="shared" ref="L2:L65" si="2">A2&amp;"_"&amp;B2</f>
        <v>2000_0001</v>
      </c>
      <c r="M2" s="14">
        <f t="shared" ref="M2:M65" si="3">IF(E2&gt;0,INDEX(E:E,MATCH((A2+1)&amp;"_"&amp;B2,L:L,0))+INDEX(H:H,MATCH((A2+1)&amp;"_"&amp;B2,L:L,0))-E2,"")</f>
        <v>15414.933438234031</v>
      </c>
      <c r="O2" s="55">
        <f t="shared" ref="O2:O33" si="4">SUMPRODUCT((annee=$A2)*(preteur=$C2),encours)</f>
        <v>0</v>
      </c>
      <c r="P2" s="55"/>
      <c r="Q2" s="55">
        <f t="shared" ref="Q2:Q65" si="5">SUMPRODUCT((annee=$A2)*(preteur=$C2),interet)+SUMPRODUCT((annee=$A2)*(preteur=$C2),Frais)</f>
        <v>0</v>
      </c>
      <c r="R2" s="55">
        <f t="shared" ref="R2:R65" si="6">SUMPRODUCT((annee=$A2)*(preteur=$C2),amortissement)</f>
        <v>0</v>
      </c>
      <c r="S2" s="55">
        <f t="shared" ref="S2:S65" si="7">SUMPRODUCT((annee=$A2)*(preteur=$C2),Frais)</f>
        <v>0</v>
      </c>
      <c r="T2" s="55">
        <f t="shared" ref="T2:T65" si="8">SUMPRODUCT((annee=$A2)*(preteur=$C2),ICNE)</f>
        <v>0</v>
      </c>
      <c r="U2" s="55">
        <f>E2-O2</f>
        <v>41424395.856108882</v>
      </c>
      <c r="V2" s="55">
        <f t="shared" ref="V2:V65" si="9">SUMPRODUCT((annee=$A2)*(preteur=$C2),encours)</f>
        <v>0</v>
      </c>
      <c r="W2" s="55">
        <f t="shared" ref="W2:W65" si="10">SUMPRODUCT((annee=$A2)*(preteur=$C2),encours_moyen)</f>
        <v>0</v>
      </c>
      <c r="X2" s="14">
        <f>SUMPRODUCT((Annee_debut=$A2)*(emprunts!$C$2:$C$149=$C2),fraction_annee_absente)</f>
        <v>0</v>
      </c>
      <c r="Z2" s="14">
        <f>W2+(U2+(H2-R2)/2)</f>
        <v>43085992.230775923</v>
      </c>
      <c r="AA2" s="12">
        <f t="shared" ref="AA2:AA65" si="11">G2/Z2</f>
        <v>5.2771603682663502E-2</v>
      </c>
    </row>
    <row r="3" spans="1:27">
      <c r="A3" s="1">
        <v>2000</v>
      </c>
      <c r="B3" s="1" t="s">
        <v>163</v>
      </c>
      <c r="C3" s="17" t="str">
        <f t="shared" si="0"/>
        <v>Dexia CL</v>
      </c>
      <c r="D3" s="2">
        <f>844964268.36*F</f>
        <v>128833612.86987865</v>
      </c>
      <c r="E3" s="14">
        <f>548473411.47*F</f>
        <v>83626981.410581887</v>
      </c>
      <c r="F3" s="14">
        <f>56172850*F</f>
        <v>8564801.4734919351</v>
      </c>
      <c r="G3" s="14">
        <f>24552763.76*F</f>
        <v>3743615.4161654143</v>
      </c>
      <c r="H3" s="14">
        <f>31620086.24*F</f>
        <v>4821186.0573265208</v>
      </c>
      <c r="I3" s="14">
        <v>0</v>
      </c>
      <c r="J3" s="14">
        <f>12421156.59*F</f>
        <v>1893881.8355220726</v>
      </c>
      <c r="K3" s="12">
        <f t="shared" si="1"/>
        <v>4.0606823070910861E-2</v>
      </c>
      <c r="L3" s="1" t="str">
        <f t="shared" si="2"/>
        <v>2000_0002</v>
      </c>
      <c r="M3" s="14">
        <f t="shared" si="3"/>
        <v>7437689.7097995281</v>
      </c>
      <c r="O3" s="55">
        <f t="shared" si="4"/>
        <v>0</v>
      </c>
      <c r="P3" s="55"/>
      <c r="Q3" s="55">
        <f t="shared" si="5"/>
        <v>0</v>
      </c>
      <c r="R3" s="55">
        <f t="shared" si="6"/>
        <v>0</v>
      </c>
      <c r="S3" s="55">
        <f t="shared" si="7"/>
        <v>0</v>
      </c>
      <c r="T3" s="55">
        <f t="shared" si="8"/>
        <v>0</v>
      </c>
      <c r="U3" s="55">
        <f t="shared" ref="U3:U66" si="12">E3-O3</f>
        <v>83626981.410581887</v>
      </c>
      <c r="V3" s="55">
        <f t="shared" si="9"/>
        <v>0</v>
      </c>
      <c r="W3" s="55">
        <f t="shared" si="10"/>
        <v>0</v>
      </c>
      <c r="X3" s="14">
        <f>SUMPRODUCT((Annee_debut=$A3)*(emprunts!$C$2:$C$149=$C3),fraction_annee_absente)</f>
        <v>0</v>
      </c>
      <c r="Z3" s="14">
        <f t="shared" ref="Z3:Z66" si="13">W3+(U3+(H3-R3)/2)</f>
        <v>86037574.439245149</v>
      </c>
      <c r="AA3" s="12">
        <f t="shared" si="11"/>
        <v>4.3511401158908114E-2</v>
      </c>
    </row>
    <row r="4" spans="1:27">
      <c r="A4" s="1">
        <v>2000</v>
      </c>
      <c r="B4" s="1" t="s">
        <v>164</v>
      </c>
      <c r="C4" s="17" t="str">
        <f t="shared" si="0"/>
        <v>Caisse d'Épargne</v>
      </c>
      <c r="D4" s="2">
        <f>188228880.27*F</f>
        <v>28699683.051335886</v>
      </c>
      <c r="E4" s="14">
        <f>124401220.28*F</f>
        <v>18967735.387439642</v>
      </c>
      <c r="F4" s="14">
        <f>15362856.16*F</f>
        <v>2342409.4215659816</v>
      </c>
      <c r="G4" s="14">
        <f>4033877.31*F</f>
        <v>615054.39600400697</v>
      </c>
      <c r="H4" s="14">
        <f>11328978.85*F</f>
        <v>1727355.0255619746</v>
      </c>
      <c r="I4" s="14">
        <v>0</v>
      </c>
      <c r="J4" s="14">
        <f>2036410.16*F</f>
        <v>310496.06240384717</v>
      </c>
      <c r="K4" s="12">
        <f t="shared" si="1"/>
        <v>2.8862046763008676E-2</v>
      </c>
      <c r="L4" s="1" t="str">
        <f t="shared" si="2"/>
        <v>2000_0003</v>
      </c>
      <c r="M4" s="14">
        <f t="shared" si="3"/>
        <v>-4.574168473482132E-3</v>
      </c>
      <c r="O4" s="55">
        <f t="shared" si="4"/>
        <v>0</v>
      </c>
      <c r="P4" s="55"/>
      <c r="Q4" s="55">
        <f t="shared" si="5"/>
        <v>0</v>
      </c>
      <c r="R4" s="55">
        <f t="shared" si="6"/>
        <v>0</v>
      </c>
      <c r="S4" s="55">
        <f t="shared" si="7"/>
        <v>0</v>
      </c>
      <c r="T4" s="55">
        <f t="shared" si="8"/>
        <v>0</v>
      </c>
      <c r="U4" s="55">
        <f t="shared" si="12"/>
        <v>18967735.387439642</v>
      </c>
      <c r="V4" s="55">
        <f t="shared" si="9"/>
        <v>0</v>
      </c>
      <c r="W4" s="55">
        <f t="shared" si="10"/>
        <v>0</v>
      </c>
      <c r="X4" s="14">
        <f>SUMPRODUCT((Annee_debut=$A4)*(emprunts!$C$2:$C$149=$C4),fraction_annee_absente)</f>
        <v>0</v>
      </c>
      <c r="Z4" s="14">
        <f t="shared" si="13"/>
        <v>19831412.900220629</v>
      </c>
      <c r="AA4" s="12">
        <f t="shared" si="11"/>
        <v>3.1014149072412504E-2</v>
      </c>
    </row>
    <row r="5" spans="1:27">
      <c r="A5" s="1">
        <v>2000</v>
      </c>
      <c r="B5" s="1" t="s">
        <v>165</v>
      </c>
      <c r="C5" s="17" t="str">
        <f t="shared" si="0"/>
        <v>Crédit Mutuel</v>
      </c>
      <c r="D5" s="2">
        <f>42500000*F</f>
        <v>6480071.1130627561</v>
      </c>
      <c r="E5" s="14">
        <f>36125496.76*F</f>
        <v>5508136.1882239571</v>
      </c>
      <c r="F5" s="14">
        <f>3679860.98*F</f>
        <v>561076.72556670127</v>
      </c>
      <c r="G5" s="14">
        <f>1619595.73*F</f>
        <v>246943.42364265383</v>
      </c>
      <c r="H5" s="14">
        <f>2060265.25*F</f>
        <v>314133.30192404747</v>
      </c>
      <c r="I5" s="14">
        <v>0</v>
      </c>
      <c r="J5" s="14">
        <f>47003.96*F</f>
        <v>7166.8000798954654</v>
      </c>
      <c r="K5" s="12">
        <f t="shared" si="1"/>
        <v>4.0687882786504516E-2</v>
      </c>
      <c r="L5" s="1" t="str">
        <f t="shared" si="2"/>
        <v>2000_0004</v>
      </c>
      <c r="M5" s="14">
        <f t="shared" si="3"/>
        <v>-7.6236128807067871E-3</v>
      </c>
      <c r="O5" s="55">
        <f t="shared" si="4"/>
        <v>0</v>
      </c>
      <c r="P5" s="55"/>
      <c r="Q5" s="55">
        <f t="shared" si="5"/>
        <v>0</v>
      </c>
      <c r="R5" s="55">
        <f t="shared" si="6"/>
        <v>0</v>
      </c>
      <c r="S5" s="55">
        <f t="shared" si="7"/>
        <v>0</v>
      </c>
      <c r="T5" s="55">
        <f t="shared" si="8"/>
        <v>0</v>
      </c>
      <c r="U5" s="55">
        <f t="shared" si="12"/>
        <v>5508136.1882239571</v>
      </c>
      <c r="V5" s="55">
        <f t="shared" si="9"/>
        <v>0</v>
      </c>
      <c r="W5" s="55">
        <f t="shared" si="10"/>
        <v>0</v>
      </c>
      <c r="X5" s="14">
        <f>SUMPRODUCT((Annee_debut=$A5)*(emprunts!$C$2:$C$149=$C5),fraction_annee_absente)</f>
        <v>0</v>
      </c>
      <c r="Z5" s="14">
        <f t="shared" si="13"/>
        <v>5665202.8391859811</v>
      </c>
      <c r="AA5" s="12">
        <f t="shared" si="11"/>
        <v>4.358951138246208E-2</v>
      </c>
    </row>
    <row r="6" spans="1:27">
      <c r="A6" s="1">
        <v>2000</v>
      </c>
      <c r="B6" s="1" t="s">
        <v>166</v>
      </c>
      <c r="C6" s="17" t="str">
        <f t="shared" si="0"/>
        <v>Société générale</v>
      </c>
      <c r="D6" s="2">
        <f>50249538.94*F</f>
        <v>7661660.8407015549</v>
      </c>
      <c r="E6" s="14">
        <f>20249538.94*F</f>
        <v>3087492.996186669</v>
      </c>
      <c r="F6" s="14">
        <f>3978043.82*F</f>
        <v>606541.33751717221</v>
      </c>
      <c r="G6" s="14">
        <f>2142378.3*F</f>
        <v>326653.26435488224</v>
      </c>
      <c r="H6" s="14">
        <f>1835665.52*F</f>
        <v>279888.07316228998</v>
      </c>
      <c r="I6" s="14">
        <v>0</v>
      </c>
      <c r="J6" s="14">
        <f>712004.05*F</f>
        <v>108560.86768914566</v>
      </c>
      <c r="K6" s="12">
        <f t="shared" si="1"/>
        <v>8.8427241017914895E-2</v>
      </c>
      <c r="L6" s="1" t="str">
        <f t="shared" si="2"/>
        <v>2000_0005</v>
      </c>
      <c r="M6" s="14">
        <f t="shared" si="3"/>
        <v>-1.5247231349349022E-3</v>
      </c>
      <c r="O6" s="55">
        <f t="shared" si="4"/>
        <v>0</v>
      </c>
      <c r="P6" s="55"/>
      <c r="Q6" s="55">
        <f t="shared" si="5"/>
        <v>0</v>
      </c>
      <c r="R6" s="55">
        <f t="shared" si="6"/>
        <v>0</v>
      </c>
      <c r="S6" s="55">
        <f t="shared" si="7"/>
        <v>0</v>
      </c>
      <c r="T6" s="55">
        <f t="shared" si="8"/>
        <v>0</v>
      </c>
      <c r="U6" s="55">
        <f t="shared" si="12"/>
        <v>3087492.996186669</v>
      </c>
      <c r="V6" s="55">
        <f t="shared" si="9"/>
        <v>0</v>
      </c>
      <c r="W6" s="55">
        <f t="shared" si="10"/>
        <v>0</v>
      </c>
      <c r="X6" s="14">
        <f>SUMPRODUCT((Annee_debut=$A6)*(emprunts!$C$2:$C$149=$C6),fraction_annee_absente)</f>
        <v>0</v>
      </c>
      <c r="Z6" s="14">
        <f t="shared" si="13"/>
        <v>3227437.0327678141</v>
      </c>
      <c r="AA6" s="12">
        <f t="shared" si="11"/>
        <v>0.10121135162000296</v>
      </c>
    </row>
    <row r="7" spans="1:27">
      <c r="A7" s="1">
        <v>2000</v>
      </c>
      <c r="B7" s="1" t="s">
        <v>167</v>
      </c>
      <c r="C7" s="17" t="str">
        <f t="shared" si="0"/>
        <v>Crédit Foncier</v>
      </c>
      <c r="D7" s="2">
        <f>39594000*F</f>
        <v>6036986.7211907478</v>
      </c>
      <c r="E7" s="14">
        <f>28505220.34*F</f>
        <v>4346255.4093346568</v>
      </c>
      <c r="F7" s="14">
        <f>4891918.5*F</f>
        <v>745881.8766895833</v>
      </c>
      <c r="G7" s="14">
        <f>2437116.95*F</f>
        <v>371592.73286707321</v>
      </c>
      <c r="H7" s="14">
        <f>2454801.55*F</f>
        <v>374289.14382251009</v>
      </c>
      <c r="I7" s="14">
        <v>0</v>
      </c>
      <c r="J7" s="14">
        <v>0</v>
      </c>
      <c r="K7" s="12">
        <f t="shared" si="1"/>
        <v>7.2973824544545943E-2</v>
      </c>
      <c r="L7" s="1" t="str">
        <f t="shared" si="2"/>
        <v>2000_0014</v>
      </c>
      <c r="M7" s="14">
        <f t="shared" si="3"/>
        <v>3.0494453385472298E-3</v>
      </c>
      <c r="O7" s="55">
        <f t="shared" si="4"/>
        <v>0</v>
      </c>
      <c r="P7" s="55"/>
      <c r="Q7" s="55">
        <f t="shared" si="5"/>
        <v>0</v>
      </c>
      <c r="R7" s="55">
        <f t="shared" si="6"/>
        <v>0</v>
      </c>
      <c r="S7" s="55">
        <f t="shared" si="7"/>
        <v>0</v>
      </c>
      <c r="T7" s="55">
        <f t="shared" si="8"/>
        <v>0</v>
      </c>
      <c r="U7" s="55">
        <f t="shared" si="12"/>
        <v>4346255.4093346568</v>
      </c>
      <c r="V7" s="55">
        <f t="shared" si="9"/>
        <v>0</v>
      </c>
      <c r="W7" s="55">
        <f t="shared" si="10"/>
        <v>0</v>
      </c>
      <c r="X7" s="14">
        <f>SUMPRODUCT((Annee_debut=$A7)*(emprunts!$C$2:$C$149=$C7),fraction_annee_absente)</f>
        <v>0</v>
      </c>
      <c r="Z7" s="14">
        <f t="shared" si="13"/>
        <v>4533399.9812459117</v>
      </c>
      <c r="AA7" s="12">
        <f t="shared" si="11"/>
        <v>8.1967780121830022E-2</v>
      </c>
    </row>
    <row r="8" spans="1:27">
      <c r="A8" s="1">
        <v>2000</v>
      </c>
      <c r="B8" s="1" t="s">
        <v>168</v>
      </c>
      <c r="C8" s="17" t="str">
        <f t="shared" si="0"/>
        <v>Auxifip CEPME</v>
      </c>
      <c r="D8" s="2">
        <f>36600000*F</f>
        <v>5580484.7703081621</v>
      </c>
      <c r="E8" s="14">
        <f>26912940.03*F</f>
        <v>4103476.8295527841</v>
      </c>
      <c r="F8" s="14">
        <f>4611793.33*F</f>
        <v>703170.55852114107</v>
      </c>
      <c r="G8" s="14">
        <f>2489168.55*F</f>
        <v>379529.15803292487</v>
      </c>
      <c r="H8" s="14">
        <f>2122624.78*F</f>
        <v>323641.40048821614</v>
      </c>
      <c r="I8" s="14">
        <v>0</v>
      </c>
      <c r="J8" s="14">
        <v>0</v>
      </c>
      <c r="K8" s="12">
        <f t="shared" si="1"/>
        <v>7.8959226128090559E-2</v>
      </c>
      <c r="L8" s="1" t="str">
        <f t="shared" si="2"/>
        <v>2000_0015</v>
      </c>
      <c r="M8" s="14">
        <f t="shared" si="3"/>
        <v>-7432.1628037821501</v>
      </c>
      <c r="O8" s="55">
        <f t="shared" si="4"/>
        <v>0</v>
      </c>
      <c r="P8" s="55"/>
      <c r="Q8" s="55">
        <f t="shared" si="5"/>
        <v>0</v>
      </c>
      <c r="R8" s="55">
        <f t="shared" si="6"/>
        <v>0</v>
      </c>
      <c r="S8" s="55">
        <f t="shared" si="7"/>
        <v>0</v>
      </c>
      <c r="T8" s="55">
        <f t="shared" si="8"/>
        <v>0</v>
      </c>
      <c r="U8" s="55">
        <f t="shared" si="12"/>
        <v>4103476.8295527841</v>
      </c>
      <c r="V8" s="55">
        <f t="shared" si="9"/>
        <v>0</v>
      </c>
      <c r="W8" s="55">
        <f t="shared" si="10"/>
        <v>0</v>
      </c>
      <c r="X8" s="14">
        <f>SUMPRODUCT((Annee_debut=$A8)*(emprunts!$C$2:$C$149=$C8),fraction_annee_absente)</f>
        <v>0</v>
      </c>
      <c r="Z8" s="14">
        <f t="shared" si="13"/>
        <v>4265297.5297968918</v>
      </c>
      <c r="AA8" s="12">
        <f t="shared" si="11"/>
        <v>8.8980699560013476E-2</v>
      </c>
    </row>
    <row r="9" spans="1:27">
      <c r="A9" s="1">
        <v>2000</v>
      </c>
      <c r="B9" s="1" t="s">
        <v>169</v>
      </c>
      <c r="C9" s="17" t="str">
        <f t="shared" si="0"/>
        <v>Natixis</v>
      </c>
      <c r="D9" s="2">
        <f>65376818*F</f>
        <v>9968151.2890767343</v>
      </c>
      <c r="E9" s="14">
        <f>48387416.67*F</f>
        <v>7377738.8470352534</v>
      </c>
      <c r="F9" s="14">
        <f>7039879.33*F</f>
        <v>1073386.3220183668</v>
      </c>
      <c r="G9" s="14">
        <f>2819479.59*F</f>
        <v>429892.4292948005</v>
      </c>
      <c r="H9" s="14">
        <f>4220400.34*F</f>
        <v>643493.98420692317</v>
      </c>
      <c r="I9" s="14">
        <v>-9.1483356896787882E-2</v>
      </c>
      <c r="J9" s="14">
        <f>773981.55*F</f>
        <v>118010.71727525971</v>
      </c>
      <c r="K9" s="12">
        <f t="shared" si="1"/>
        <v>5.086807030961784E-2</v>
      </c>
      <c r="L9" s="1" t="str">
        <f t="shared" si="2"/>
        <v>2000_0016</v>
      </c>
      <c r="M9" s="14">
        <f t="shared" si="3"/>
        <v>-1.8296672031283379E-2</v>
      </c>
      <c r="O9" s="55">
        <f t="shared" si="4"/>
        <v>0</v>
      </c>
      <c r="P9" s="55"/>
      <c r="Q9" s="55">
        <f t="shared" si="5"/>
        <v>0</v>
      </c>
      <c r="R9" s="55">
        <f t="shared" si="6"/>
        <v>0</v>
      </c>
      <c r="S9" s="55">
        <f t="shared" si="7"/>
        <v>0</v>
      </c>
      <c r="T9" s="55">
        <f t="shared" si="8"/>
        <v>0</v>
      </c>
      <c r="U9" s="55">
        <f t="shared" si="12"/>
        <v>7377738.8470352534</v>
      </c>
      <c r="V9" s="55">
        <f t="shared" si="9"/>
        <v>0</v>
      </c>
      <c r="W9" s="55">
        <f t="shared" si="10"/>
        <v>0</v>
      </c>
      <c r="X9" s="14">
        <f>SUMPRODUCT((Annee_debut=$A9)*(emprunts!$C$2:$C$149=$C9),fraction_annee_absente)</f>
        <v>0</v>
      </c>
      <c r="Z9" s="14">
        <f t="shared" si="13"/>
        <v>7699485.8391387146</v>
      </c>
      <c r="AA9" s="12">
        <f t="shared" si="11"/>
        <v>5.583391388416261E-2</v>
      </c>
    </row>
    <row r="10" spans="1:27">
      <c r="A10" s="1">
        <v>2000</v>
      </c>
      <c r="B10" s="1" t="s">
        <v>170</v>
      </c>
      <c r="C10" s="17" t="str">
        <f t="shared" si="0"/>
        <v>Krebitbank BW</v>
      </c>
      <c r="D10" s="2">
        <f>70200000*F</f>
        <v>10703552.756164836</v>
      </c>
      <c r="E10" s="14">
        <f>45795392.25*F</f>
        <v>6982527.021896542</v>
      </c>
      <c r="F10" s="14">
        <f>7717769.29*F</f>
        <v>1176745.7372567495</v>
      </c>
      <c r="G10" s="14">
        <f>3545188.08*F</f>
        <v>540542.84394311567</v>
      </c>
      <c r="H10" s="14">
        <f>4172581.21*F</f>
        <v>636202.89331363398</v>
      </c>
      <c r="I10" s="14">
        <v>0</v>
      </c>
      <c r="J10" s="14">
        <v>0</v>
      </c>
      <c r="K10" s="12">
        <f t="shared" si="1"/>
        <v>6.6248899858963553E-2</v>
      </c>
      <c r="L10" s="1" t="str">
        <f t="shared" si="2"/>
        <v>2000_0021</v>
      </c>
      <c r="M10" s="14">
        <f t="shared" si="3"/>
        <v>-1.2197781354188919E-2</v>
      </c>
      <c r="O10" s="55">
        <f t="shared" si="4"/>
        <v>0</v>
      </c>
      <c r="P10" s="55"/>
      <c r="Q10" s="55">
        <f t="shared" si="5"/>
        <v>0</v>
      </c>
      <c r="R10" s="55">
        <f t="shared" si="6"/>
        <v>0</v>
      </c>
      <c r="S10" s="55">
        <f t="shared" si="7"/>
        <v>0</v>
      </c>
      <c r="T10" s="55">
        <f t="shared" si="8"/>
        <v>0</v>
      </c>
      <c r="U10" s="55">
        <f t="shared" si="12"/>
        <v>6982527.021896542</v>
      </c>
      <c r="V10" s="55">
        <f t="shared" si="9"/>
        <v>0</v>
      </c>
      <c r="W10" s="55">
        <f t="shared" si="10"/>
        <v>0</v>
      </c>
      <c r="X10" s="14">
        <f>SUMPRODUCT((Annee_debut=$A10)*(emprunts!$C$2:$C$149=$C10),fraction_annee_absente)</f>
        <v>0</v>
      </c>
      <c r="Z10" s="14">
        <f t="shared" si="13"/>
        <v>7300628.4685533587</v>
      </c>
      <c r="AA10" s="12">
        <f t="shared" si="11"/>
        <v>7.4040590652084765E-2</v>
      </c>
    </row>
    <row r="11" spans="1:27">
      <c r="A11" s="1">
        <v>2000</v>
      </c>
      <c r="B11" s="1" t="s">
        <v>171</v>
      </c>
      <c r="C11" s="17" t="str">
        <f t="shared" si="0"/>
        <v>Deutsche Hypothekenbank</v>
      </c>
      <c r="D11" s="2">
        <f>25000000*F</f>
        <v>3811806.537095739</v>
      </c>
      <c r="E11" s="14">
        <f>19753014*F</f>
        <v>3011786.7157017458</v>
      </c>
      <c r="F11" s="14">
        <f>3010512*F</f>
        <v>459019.57286420668</v>
      </c>
      <c r="G11" s="14">
        <f>1783318*F</f>
        <v>271906.52840481995</v>
      </c>
      <c r="H11" s="14">
        <f>1227194*F</f>
        <v>187113.04445938673</v>
      </c>
      <c r="I11" s="14">
        <v>0</v>
      </c>
      <c r="J11" s="14">
        <v>0</v>
      </c>
      <c r="K11" s="12">
        <f t="shared" si="1"/>
        <v>7.8341026781176173E-2</v>
      </c>
      <c r="L11" s="1" t="str">
        <f t="shared" si="2"/>
        <v>2000_0022</v>
      </c>
      <c r="M11" s="14">
        <f t="shared" si="3"/>
        <v>-1.5247222036123276E-3</v>
      </c>
      <c r="O11" s="55">
        <f t="shared" si="4"/>
        <v>0</v>
      </c>
      <c r="P11" s="55"/>
      <c r="Q11" s="55">
        <f t="shared" si="5"/>
        <v>0</v>
      </c>
      <c r="R11" s="55">
        <f t="shared" si="6"/>
        <v>0</v>
      </c>
      <c r="S11" s="55">
        <f t="shared" si="7"/>
        <v>0</v>
      </c>
      <c r="T11" s="55">
        <f t="shared" si="8"/>
        <v>0</v>
      </c>
      <c r="U11" s="55">
        <f t="shared" si="12"/>
        <v>3011786.7157017458</v>
      </c>
      <c r="V11" s="55">
        <f t="shared" si="9"/>
        <v>0</v>
      </c>
      <c r="W11" s="55">
        <f t="shared" si="10"/>
        <v>0</v>
      </c>
      <c r="X11" s="14">
        <f>SUMPRODUCT((Annee_debut=$A11)*(emprunts!$C$2:$C$149=$C11),fraction_annee_absente)</f>
        <v>0</v>
      </c>
      <c r="Z11" s="14">
        <f t="shared" si="13"/>
        <v>3105343.2379314392</v>
      </c>
      <c r="AA11" s="12">
        <f t="shared" si="11"/>
        <v>8.756086125472716E-2</v>
      </c>
    </row>
    <row r="12" spans="1:27">
      <c r="A12" s="1">
        <v>2000</v>
      </c>
      <c r="B12" s="1" t="s">
        <v>172</v>
      </c>
      <c r="C12" s="17" t="str">
        <f t="shared" si="0"/>
        <v>Rheinboden Hypothekenbank</v>
      </c>
      <c r="D12" s="2">
        <f>63524000*F</f>
        <v>9685647.9384987894</v>
      </c>
      <c r="E12" s="14">
        <f>48849000*F</f>
        <v>7448117.5012235902</v>
      </c>
      <c r="F12" s="14">
        <f>7028721.6*F</f>
        <v>1071685.0776922407</v>
      </c>
      <c r="G12" s="14">
        <f>2793721.6*F</f>
        <v>425965.05030822271</v>
      </c>
      <c r="H12" s="14">
        <f>4235000*F</f>
        <v>645720.02738401818</v>
      </c>
      <c r="I12" s="14">
        <v>0</v>
      </c>
      <c r="J12" s="14">
        <f>350225.18*F</f>
        <v>53399.625223181276</v>
      </c>
      <c r="K12" s="12">
        <f t="shared" si="1"/>
        <v>4.9997056429731027E-2</v>
      </c>
      <c r="L12" s="1" t="str">
        <f t="shared" si="2"/>
        <v>2000_0025</v>
      </c>
      <c r="M12" s="14">
        <f t="shared" si="3"/>
        <v>6.0988906770944595E-3</v>
      </c>
      <c r="O12" s="55">
        <f t="shared" si="4"/>
        <v>0</v>
      </c>
      <c r="P12" s="55"/>
      <c r="Q12" s="55">
        <f t="shared" si="5"/>
        <v>0</v>
      </c>
      <c r="R12" s="55">
        <f t="shared" si="6"/>
        <v>0</v>
      </c>
      <c r="S12" s="55">
        <f t="shared" si="7"/>
        <v>0</v>
      </c>
      <c r="T12" s="55">
        <f t="shared" si="8"/>
        <v>0</v>
      </c>
      <c r="U12" s="55">
        <f t="shared" si="12"/>
        <v>7448117.5012235902</v>
      </c>
      <c r="V12" s="55">
        <f t="shared" si="9"/>
        <v>0</v>
      </c>
      <c r="W12" s="55">
        <f t="shared" si="10"/>
        <v>0</v>
      </c>
      <c r="X12" s="14">
        <f>SUMPRODUCT((Annee_debut=$A12)*(emprunts!$C$2:$C$149=$C12),fraction_annee_absente)</f>
        <v>0</v>
      </c>
      <c r="Z12" s="14">
        <f t="shared" si="13"/>
        <v>7770977.5149155995</v>
      </c>
      <c r="AA12" s="12">
        <f t="shared" si="11"/>
        <v>5.4814860741859851E-2</v>
      </c>
    </row>
    <row r="13" spans="1:27">
      <c r="A13" s="1">
        <v>2001</v>
      </c>
      <c r="B13" s="1" t="s">
        <v>162</v>
      </c>
      <c r="C13" s="17" t="str">
        <f t="shared" si="0"/>
        <v>CDC</v>
      </c>
      <c r="D13" s="2">
        <f>357049623.25*F</f>
        <v>54440163.518876828</v>
      </c>
      <c r="E13" s="14">
        <f>250131801.25*F</f>
        <v>38138161.405611284</v>
      </c>
      <c r="F13" s="14">
        <f>35493422.84*F</f>
        <v>5411762.4482166087</v>
      </c>
      <c r="G13" s="14">
        <f>13839324.24*F</f>
        <v>2110113.064280781</v>
      </c>
      <c r="H13" s="14">
        <f>21654098.6*F</f>
        <v>3301649.3839358278</v>
      </c>
      <c r="I13" s="14">
        <f t="shared" ref="I13:I34" si="14">F13-SUM(G13:H13)</f>
        <v>0</v>
      </c>
      <c r="J13" s="14">
        <f>3241965.6*F</f>
        <v>494309.82668478042</v>
      </c>
      <c r="K13" s="12">
        <f t="shared" si="1"/>
        <v>4.8452738318515085E-2</v>
      </c>
      <c r="L13" s="1" t="str">
        <f t="shared" si="2"/>
        <v>2001_0001</v>
      </c>
      <c r="M13" s="14">
        <f t="shared" si="3"/>
        <v>12840455.024388716</v>
      </c>
      <c r="O13" s="55">
        <f t="shared" si="4"/>
        <v>0</v>
      </c>
      <c r="P13" s="55"/>
      <c r="Q13" s="55">
        <f t="shared" si="5"/>
        <v>0</v>
      </c>
      <c r="R13" s="55">
        <f t="shared" si="6"/>
        <v>0</v>
      </c>
      <c r="S13" s="55">
        <f t="shared" si="7"/>
        <v>0</v>
      </c>
      <c r="T13" s="55">
        <f t="shared" si="8"/>
        <v>0</v>
      </c>
      <c r="U13" s="55">
        <f t="shared" si="12"/>
        <v>38138161.405611284</v>
      </c>
      <c r="V13" s="55">
        <f t="shared" si="9"/>
        <v>0</v>
      </c>
      <c r="W13" s="55">
        <f t="shared" si="10"/>
        <v>0</v>
      </c>
      <c r="X13" s="14">
        <f>SUMPRODUCT((Annee_debut=$A13)*(emprunts!$C$2:$C$149=$C13),fraction_annee_absente)</f>
        <v>428515.0684931507</v>
      </c>
      <c r="Z13" s="14">
        <f t="shared" si="13"/>
        <v>39788986.097579196</v>
      </c>
      <c r="AA13" s="12">
        <f t="shared" si="11"/>
        <v>5.3032591961652484E-2</v>
      </c>
    </row>
    <row r="14" spans="1:27">
      <c r="A14" s="1">
        <v>2001</v>
      </c>
      <c r="B14" s="1" t="s">
        <v>163</v>
      </c>
      <c r="C14" s="17" t="str">
        <f t="shared" si="0"/>
        <v>Dexia CL</v>
      </c>
      <c r="D14" s="2">
        <f>707849220.65*F</f>
        <v>107927371.46207176</v>
      </c>
      <c r="E14" s="14">
        <f>560153036*F</f>
        <v>85407800.175952986</v>
      </c>
      <c r="F14" s="14">
        <f>64376072.92*F</f>
        <v>9815565.4235603195</v>
      </c>
      <c r="G14" s="14">
        <f>26895949.97*F</f>
        <v>4100886.3166818377</v>
      </c>
      <c r="H14" s="14">
        <f>37100984.07*F</f>
        <v>5656870.9444284346</v>
      </c>
      <c r="I14" s="14">
        <f t="shared" si="14"/>
        <v>57808.16245004721</v>
      </c>
      <c r="J14" s="14">
        <f>15312065.52*F</f>
        <v>2334665.2578229704</v>
      </c>
      <c r="K14" s="12">
        <f t="shared" si="1"/>
        <v>4.3065966959508491E-2</v>
      </c>
      <c r="L14" s="1" t="str">
        <f t="shared" si="2"/>
        <v>2001_0002</v>
      </c>
      <c r="M14" s="14">
        <f t="shared" si="3"/>
        <v>3336979.6640470177</v>
      </c>
      <c r="O14" s="55">
        <f t="shared" si="4"/>
        <v>3049445.2296765912</v>
      </c>
      <c r="P14" s="55"/>
      <c r="Q14" s="55">
        <f t="shared" si="5"/>
        <v>0</v>
      </c>
      <c r="R14" s="55">
        <f t="shared" si="6"/>
        <v>0</v>
      </c>
      <c r="S14" s="55">
        <f t="shared" si="7"/>
        <v>0</v>
      </c>
      <c r="T14" s="55">
        <f t="shared" si="8"/>
        <v>12486.773793677587</v>
      </c>
      <c r="U14" s="55">
        <f t="shared" si="12"/>
        <v>82358354.946276397</v>
      </c>
      <c r="V14" s="55">
        <f t="shared" si="9"/>
        <v>3049445.2296765912</v>
      </c>
      <c r="W14" s="55">
        <f t="shared" si="10"/>
        <v>292412.55627035804</v>
      </c>
      <c r="X14" s="14">
        <f>SUMPRODUCT((Annee_debut=$A14)*(emprunts!$C$2:$C$149=$C14),fraction_annee_absente)</f>
        <v>2748276.7123287669</v>
      </c>
      <c r="Z14" s="14">
        <f t="shared" si="13"/>
        <v>85479202.974760979</v>
      </c>
      <c r="AA14" s="12">
        <f t="shared" si="11"/>
        <v>4.7975252154523321E-2</v>
      </c>
    </row>
    <row r="15" spans="1:27">
      <c r="A15" s="1">
        <v>2001</v>
      </c>
      <c r="B15" s="1" t="s">
        <v>164</v>
      </c>
      <c r="C15" s="17" t="str">
        <f t="shared" si="0"/>
        <v>Caisse d'Épargne</v>
      </c>
      <c r="D15" s="2">
        <f>18822880.25*F</f>
        <v>2869967.119356811</v>
      </c>
      <c r="E15" s="14">
        <f>110163871.53*F</f>
        <v>16796934.625993166</v>
      </c>
      <c r="F15" s="14">
        <f>21224039.08*F</f>
        <v>3236077.2363487771</v>
      </c>
      <c r="G15" s="14">
        <f>6986690.37*F</f>
        <v>1065276.4810011939</v>
      </c>
      <c r="H15" s="14">
        <f>14237348.72*F</f>
        <v>2170800.7568723061</v>
      </c>
      <c r="I15" s="14">
        <f t="shared" si="14"/>
        <v>-1.5247231349349022E-3</v>
      </c>
      <c r="J15" s="14">
        <f>1323429.92*F</f>
        <v>201786.35281776363</v>
      </c>
      <c r="K15" s="12">
        <f t="shared" si="1"/>
        <v>5.3176052024593495E-2</v>
      </c>
      <c r="L15" s="1" t="str">
        <f t="shared" si="2"/>
        <v>2001_0003</v>
      </c>
      <c r="M15" s="14">
        <f t="shared" si="3"/>
        <v>-491907.28599316627</v>
      </c>
      <c r="O15" s="55">
        <f t="shared" si="4"/>
        <v>0</v>
      </c>
      <c r="P15" s="55"/>
      <c r="Q15" s="55">
        <f t="shared" si="5"/>
        <v>0</v>
      </c>
      <c r="R15" s="55">
        <f t="shared" si="6"/>
        <v>0</v>
      </c>
      <c r="S15" s="55">
        <f t="shared" si="7"/>
        <v>0</v>
      </c>
      <c r="T15" s="55">
        <f t="shared" si="8"/>
        <v>0</v>
      </c>
      <c r="U15" s="55">
        <f t="shared" si="12"/>
        <v>16796934.625993166</v>
      </c>
      <c r="V15" s="55">
        <f t="shared" si="9"/>
        <v>0</v>
      </c>
      <c r="W15" s="55">
        <f t="shared" si="10"/>
        <v>0</v>
      </c>
      <c r="X15" s="14">
        <f>SUMPRODUCT((Annee_debut=$A15)*(emprunts!$C$2:$C$149=$C15),fraction_annee_absente)</f>
        <v>60.229972602375973</v>
      </c>
      <c r="Z15" s="14">
        <f t="shared" si="13"/>
        <v>17882335.004429318</v>
      </c>
      <c r="AA15" s="12">
        <f t="shared" si="11"/>
        <v>5.9571441913896198E-2</v>
      </c>
    </row>
    <row r="16" spans="1:27">
      <c r="A16" s="1">
        <v>2001</v>
      </c>
      <c r="B16" s="1" t="s">
        <v>165</v>
      </c>
      <c r="C16" s="17" t="str">
        <f t="shared" si="0"/>
        <v>Crédit Mutuel</v>
      </c>
      <c r="D16" s="2">
        <f>42499999.98*F</f>
        <v>6480071.1100133108</v>
      </c>
      <c r="E16" s="14">
        <f>34001869.11*F</f>
        <v>5184341.8778788671</v>
      </c>
      <c r="F16" s="14">
        <f>4042627.7*F</f>
        <v>616388.58775617252</v>
      </c>
      <c r="G16" s="14">
        <f>1919000.17*F</f>
        <v>292594.29570775334</v>
      </c>
      <c r="H16" s="14">
        <f>2123627.6*F</f>
        <v>323794.3027214774</v>
      </c>
      <c r="I16" s="14">
        <f t="shared" si="14"/>
        <v>-1.0673058219254017E-2</v>
      </c>
      <c r="J16" s="14">
        <f>205684.63*F</f>
        <v>31361.200688564735</v>
      </c>
      <c r="K16" s="12">
        <f t="shared" si="1"/>
        <v>5.0440939712878267E-2</v>
      </c>
      <c r="L16" s="1" t="str">
        <f t="shared" si="2"/>
        <v>2001_0004</v>
      </c>
      <c r="M16" s="14">
        <f t="shared" si="3"/>
        <v>-254748.21787886694</v>
      </c>
      <c r="O16" s="55">
        <f t="shared" si="4"/>
        <v>1989353.1532026036</v>
      </c>
      <c r="P16" s="55"/>
      <c r="Q16" s="55">
        <f t="shared" si="5"/>
        <v>80371.933211050578</v>
      </c>
      <c r="R16" s="55">
        <f t="shared" si="6"/>
        <v>71292.68880258959</v>
      </c>
      <c r="S16" s="55">
        <f t="shared" si="7"/>
        <v>0</v>
      </c>
      <c r="T16" s="55">
        <f t="shared" si="8"/>
        <v>31361.200688564732</v>
      </c>
      <c r="U16" s="55">
        <f t="shared" si="12"/>
        <v>3194988.7246762635</v>
      </c>
      <c r="V16" s="55">
        <f t="shared" si="9"/>
        <v>1989353.1532026036</v>
      </c>
      <c r="W16" s="55">
        <f t="shared" si="10"/>
        <v>1922537.6779823853</v>
      </c>
      <c r="X16" s="14">
        <f>SUMPRODUCT((Annee_debut=$A16)*(emprunts!$C$2:$C$149=$C16),fraction_annee_absente)</f>
        <v>96931.506849315076</v>
      </c>
      <c r="Z16" s="14">
        <f t="shared" si="13"/>
        <v>5243777.2096180925</v>
      </c>
      <c r="AA16" s="12">
        <f t="shared" si="11"/>
        <v>5.57983842584081E-2</v>
      </c>
    </row>
    <row r="17" spans="1:27">
      <c r="A17" s="1">
        <v>2001</v>
      </c>
      <c r="B17" s="1" t="s">
        <v>166</v>
      </c>
      <c r="C17" s="17" t="str">
        <f t="shared" si="0"/>
        <v>Société générale</v>
      </c>
      <c r="D17" s="2">
        <f>20249538.93*F</f>
        <v>3087492.9946619463</v>
      </c>
      <c r="E17" s="14">
        <f>17862001.86*F</f>
        <v>2723459.8182225698</v>
      </c>
      <c r="F17" s="14">
        <f>3671357.88*F</f>
        <v>559780.23868007807</v>
      </c>
      <c r="G17" s="14">
        <f>1283820.8*F</f>
        <v>195747.06071597926</v>
      </c>
      <c r="H17" s="14">
        <f>2387537.07*F</f>
        <v>364033.17643937626</v>
      </c>
      <c r="I17" s="14">
        <f t="shared" si="14"/>
        <v>1.5247225528582931E-3</v>
      </c>
      <c r="J17" s="14">
        <f>651547.13*F</f>
        <v>99342.86437439869</v>
      </c>
      <c r="K17" s="12">
        <f t="shared" si="1"/>
        <v>5.9620087877656942E-2</v>
      </c>
      <c r="L17" s="1" t="str">
        <f t="shared" si="2"/>
        <v>2001_0005</v>
      </c>
      <c r="M17" s="14">
        <f t="shared" si="3"/>
        <v>-415.18822256987914</v>
      </c>
      <c r="O17" s="55">
        <f t="shared" si="4"/>
        <v>0</v>
      </c>
      <c r="P17" s="55"/>
      <c r="Q17" s="55">
        <f t="shared" si="5"/>
        <v>0</v>
      </c>
      <c r="R17" s="55">
        <f t="shared" si="6"/>
        <v>0</v>
      </c>
      <c r="S17" s="55">
        <f t="shared" si="7"/>
        <v>0</v>
      </c>
      <c r="T17" s="55">
        <f t="shared" si="8"/>
        <v>0</v>
      </c>
      <c r="U17" s="55">
        <f t="shared" si="12"/>
        <v>2723459.8182225698</v>
      </c>
      <c r="V17" s="55">
        <f t="shared" si="9"/>
        <v>0</v>
      </c>
      <c r="W17" s="55">
        <f t="shared" si="10"/>
        <v>0</v>
      </c>
      <c r="X17" s="14">
        <f>SUMPRODUCT((Annee_debut=$A17)*(emprunts!$C$2:$C$149=$C17),fraction_annee_absente)</f>
        <v>0</v>
      </c>
      <c r="Z17" s="14">
        <f t="shared" si="13"/>
        <v>2905476.406442258</v>
      </c>
      <c r="AA17" s="12">
        <f t="shared" si="11"/>
        <v>6.7371760542248083E-2</v>
      </c>
    </row>
    <row r="18" spans="1:27">
      <c r="A18" s="1">
        <v>2001</v>
      </c>
      <c r="B18" s="1" t="s">
        <v>167</v>
      </c>
      <c r="C18" s="17" t="str">
        <f t="shared" si="0"/>
        <v>Crédit Foncier</v>
      </c>
      <c r="D18" s="2">
        <f>39594000.08*F</f>
        <v>6036986.7333885282</v>
      </c>
      <c r="E18" s="14">
        <f>25842022.8*F</f>
        <v>3940191.6576326853</v>
      </c>
      <c r="F18" s="14">
        <f>4928078.93*F</f>
        <v>751395.33922791097</v>
      </c>
      <c r="G18" s="14">
        <f>2264881.38*F</f>
        <v>345331.58600121672</v>
      </c>
      <c r="H18" s="14">
        <f>2663197.56*F</f>
        <v>406063.75475141685</v>
      </c>
      <c r="I18" s="14">
        <f t="shared" si="14"/>
        <v>-1.5247225528582931E-3</v>
      </c>
      <c r="J18" s="14">
        <f>0</f>
        <v>0</v>
      </c>
      <c r="K18" s="12">
        <f t="shared" si="1"/>
        <v>7.3606561326113623E-2</v>
      </c>
      <c r="L18" s="1" t="str">
        <f t="shared" si="2"/>
        <v>2001_0014</v>
      </c>
      <c r="M18" s="14">
        <f t="shared" si="3"/>
        <v>-600.67763268528506</v>
      </c>
      <c r="O18" s="55">
        <f t="shared" si="4"/>
        <v>0</v>
      </c>
      <c r="P18" s="55"/>
      <c r="Q18" s="55">
        <f t="shared" si="5"/>
        <v>0</v>
      </c>
      <c r="R18" s="55">
        <f t="shared" si="6"/>
        <v>0</v>
      </c>
      <c r="S18" s="55">
        <f t="shared" si="7"/>
        <v>0</v>
      </c>
      <c r="T18" s="55">
        <f t="shared" si="8"/>
        <v>0</v>
      </c>
      <c r="U18" s="55">
        <f t="shared" si="12"/>
        <v>3940191.6576326853</v>
      </c>
      <c r="V18" s="55">
        <f t="shared" si="9"/>
        <v>0</v>
      </c>
      <c r="W18" s="55">
        <f t="shared" si="10"/>
        <v>0</v>
      </c>
      <c r="X18" s="14">
        <f>SUMPRODUCT((Annee_debut=$A18)*(emprunts!$C$2:$C$149=$C18),fraction_annee_absente)</f>
        <v>0</v>
      </c>
      <c r="Z18" s="14">
        <f t="shared" si="13"/>
        <v>4143223.5350083937</v>
      </c>
      <c r="AA18" s="12">
        <f t="shared" si="11"/>
        <v>8.3348528768317373E-2</v>
      </c>
    </row>
    <row r="19" spans="1:27">
      <c r="A19" s="1">
        <v>2001</v>
      </c>
      <c r="B19" s="1" t="s">
        <v>168</v>
      </c>
      <c r="C19" s="17" t="str">
        <f t="shared" si="0"/>
        <v>Auxifip CEPME</v>
      </c>
      <c r="D19" s="2">
        <f>365999999.93*F</f>
        <v>55804847.692408562</v>
      </c>
      <c r="E19" s="14">
        <f>24554945.17*F</f>
        <v>3743948.0206813379</v>
      </c>
      <c r="F19" s="14">
        <f>4611793.32*F</f>
        <v>703170.55699641851</v>
      </c>
      <c r="G19" s="14">
        <f>2302542.82*F</f>
        <v>351073.91092875425</v>
      </c>
      <c r="H19" s="14">
        <f>2309250.5*F</f>
        <v>352096.64606766414</v>
      </c>
      <c r="I19" s="14">
        <f t="shared" si="14"/>
        <v>0</v>
      </c>
      <c r="J19" s="14">
        <v>0</v>
      </c>
      <c r="K19" s="12">
        <f t="shared" si="1"/>
        <v>7.8944130856092837E-2</v>
      </c>
      <c r="L19" s="1" t="str">
        <f t="shared" si="2"/>
        <v>2001_0015</v>
      </c>
      <c r="M19" s="14">
        <f t="shared" si="3"/>
        <v>-570.77068133791909</v>
      </c>
      <c r="O19" s="55">
        <f t="shared" si="4"/>
        <v>0</v>
      </c>
      <c r="P19" s="55"/>
      <c r="Q19" s="55">
        <f t="shared" si="5"/>
        <v>0</v>
      </c>
      <c r="R19" s="55">
        <f t="shared" si="6"/>
        <v>0</v>
      </c>
      <c r="S19" s="55">
        <f t="shared" si="7"/>
        <v>0</v>
      </c>
      <c r="T19" s="55">
        <f t="shared" si="8"/>
        <v>0</v>
      </c>
      <c r="U19" s="55">
        <f t="shared" si="12"/>
        <v>3743948.0206813379</v>
      </c>
      <c r="V19" s="55">
        <f t="shared" si="9"/>
        <v>0</v>
      </c>
      <c r="W19" s="55">
        <f t="shared" si="10"/>
        <v>0</v>
      </c>
      <c r="X19" s="14">
        <f>SUMPRODUCT((Annee_debut=$A19)*(emprunts!$C$2:$C$149=$C19),fraction_annee_absente)</f>
        <v>0</v>
      </c>
      <c r="Z19" s="14">
        <f t="shared" si="13"/>
        <v>3919996.3437151699</v>
      </c>
      <c r="AA19" s="12">
        <f t="shared" si="11"/>
        <v>8.95597546899813E-2</v>
      </c>
    </row>
    <row r="20" spans="1:27">
      <c r="A20" s="1">
        <v>2001</v>
      </c>
      <c r="B20" s="1" t="s">
        <v>169</v>
      </c>
      <c r="C20" s="17" t="str">
        <f t="shared" si="0"/>
        <v>Natixis</v>
      </c>
      <c r="D20" s="2">
        <f>65376817.97*F</f>
        <v>9968151.2845025677</v>
      </c>
      <c r="E20" s="14">
        <f>30249999.99*F</f>
        <v>4612285.9083611211</v>
      </c>
      <c r="F20" s="14">
        <f>21248620.22*F</f>
        <v>3239825.1783544277</v>
      </c>
      <c r="G20" s="14">
        <f>3111203.6*F</f>
        <v>474372.24882863188</v>
      </c>
      <c r="H20" s="14">
        <f>18137416.56*F</f>
        <v>2765452.9203774603</v>
      </c>
      <c r="I20" s="14">
        <f t="shared" si="14"/>
        <v>9.148335549980402E-3</v>
      </c>
      <c r="J20" s="14">
        <f>637055.8*F</f>
        <v>97133.338517390235</v>
      </c>
      <c r="K20" s="12">
        <f t="shared" si="1"/>
        <v>6.0413338984873749E-2</v>
      </c>
      <c r="L20" s="1" t="str">
        <f t="shared" si="2"/>
        <v>2001_0016</v>
      </c>
      <c r="M20" s="14">
        <f t="shared" si="3"/>
        <v>-703.13836112152785</v>
      </c>
      <c r="O20" s="55">
        <f t="shared" si="4"/>
        <v>0</v>
      </c>
      <c r="P20" s="55"/>
      <c r="Q20" s="55">
        <f t="shared" si="5"/>
        <v>0</v>
      </c>
      <c r="R20" s="55">
        <f t="shared" si="6"/>
        <v>0</v>
      </c>
      <c r="S20" s="55">
        <f t="shared" si="7"/>
        <v>0</v>
      </c>
      <c r="T20" s="55">
        <f t="shared" si="8"/>
        <v>0</v>
      </c>
      <c r="U20" s="55">
        <f t="shared" si="12"/>
        <v>4612285.9083611211</v>
      </c>
      <c r="V20" s="55">
        <f t="shared" si="9"/>
        <v>0</v>
      </c>
      <c r="W20" s="55">
        <f t="shared" si="10"/>
        <v>0</v>
      </c>
      <c r="X20" s="14">
        <f>SUMPRODUCT((Annee_debut=$A20)*(emprunts!$C$2:$C$149=$C20),fraction_annee_absente)</f>
        <v>0</v>
      </c>
      <c r="Z20" s="14">
        <f t="shared" si="13"/>
        <v>5995012.3685498517</v>
      </c>
      <c r="AA20" s="12">
        <f t="shared" si="11"/>
        <v>7.9127818203881192E-2</v>
      </c>
    </row>
    <row r="21" spans="1:27">
      <c r="A21" s="1">
        <v>2001</v>
      </c>
      <c r="B21" s="1" t="s">
        <v>170</v>
      </c>
      <c r="C21" s="17" t="str">
        <f t="shared" si="0"/>
        <v>Krebitbank BW</v>
      </c>
      <c r="D21" s="2">
        <f>70200000*F</f>
        <v>10703552.756164836</v>
      </c>
      <c r="E21" s="14">
        <f>41442098.9*F</f>
        <v>6318770.5399195254</v>
      </c>
      <c r="F21" s="14">
        <f>7601345.3*F</f>
        <v>1158994.3082104789</v>
      </c>
      <c r="G21" s="14">
        <f>3248052.03*F</f>
        <v>495237.83843124338</v>
      </c>
      <c r="H21" s="14">
        <f>4353293.27*F</f>
        <v>663756.46977923531</v>
      </c>
      <c r="I21" s="14">
        <f t="shared" si="14"/>
        <v>0</v>
      </c>
      <c r="J21" s="14">
        <v>0</v>
      </c>
      <c r="K21" s="12">
        <f t="shared" si="1"/>
        <v>6.62280572456206E-2</v>
      </c>
      <c r="L21" s="1" t="str">
        <f t="shared" si="2"/>
        <v>2001_0021</v>
      </c>
      <c r="M21" s="14">
        <f t="shared" si="3"/>
        <v>-963.2899195253849</v>
      </c>
      <c r="O21" s="55">
        <f t="shared" si="4"/>
        <v>0</v>
      </c>
      <c r="P21" s="55"/>
      <c r="Q21" s="55">
        <f t="shared" si="5"/>
        <v>0</v>
      </c>
      <c r="R21" s="55">
        <f t="shared" si="6"/>
        <v>0</v>
      </c>
      <c r="S21" s="55">
        <f t="shared" si="7"/>
        <v>0</v>
      </c>
      <c r="T21" s="55">
        <f t="shared" si="8"/>
        <v>0</v>
      </c>
      <c r="U21" s="55">
        <f t="shared" si="12"/>
        <v>6318770.5399195254</v>
      </c>
      <c r="V21" s="55">
        <f t="shared" si="9"/>
        <v>0</v>
      </c>
      <c r="W21" s="55">
        <f t="shared" si="10"/>
        <v>0</v>
      </c>
      <c r="X21" s="14">
        <f>SUMPRODUCT((Annee_debut=$A21)*(emprunts!$C$2:$C$149=$C21),fraction_annee_absente)</f>
        <v>0</v>
      </c>
      <c r="Z21" s="14">
        <f t="shared" si="13"/>
        <v>6650648.7748091426</v>
      </c>
      <c r="AA21" s="12">
        <f t="shared" si="11"/>
        <v>7.4464590628672236E-2</v>
      </c>
    </row>
    <row r="22" spans="1:27">
      <c r="A22" s="1">
        <v>2001</v>
      </c>
      <c r="B22" s="1" t="s">
        <v>171</v>
      </c>
      <c r="C22" s="17" t="str">
        <f t="shared" si="0"/>
        <v>Deutsche Hypothekenbank</v>
      </c>
      <c r="D22" s="2">
        <f>25000000*F</f>
        <v>3811806.537095739</v>
      </c>
      <c r="E22" s="14">
        <f>18421508.98*F</f>
        <v>2808769.1341252746</v>
      </c>
      <c r="F22" s="14">
        <f>3010512.03*F</f>
        <v>459019.57743837452</v>
      </c>
      <c r="G22" s="14">
        <f>1679007.02*F</f>
        <v>256001.99738662544</v>
      </c>
      <c r="H22" s="14">
        <f>1331505.01*F</f>
        <v>203017.5800517491</v>
      </c>
      <c r="I22" s="14">
        <f t="shared" si="14"/>
        <v>0</v>
      </c>
      <c r="J22" s="14">
        <v>0</v>
      </c>
      <c r="K22" s="12">
        <f t="shared" si="1"/>
        <v>7.8341049554616862E-2</v>
      </c>
      <c r="L22" s="1" t="str">
        <f t="shared" si="2"/>
        <v>2001_0022</v>
      </c>
      <c r="M22" s="14">
        <f t="shared" si="3"/>
        <v>-428.19412527466193</v>
      </c>
      <c r="O22" s="55">
        <f t="shared" si="4"/>
        <v>0</v>
      </c>
      <c r="P22" s="55"/>
      <c r="Q22" s="55">
        <f t="shared" si="5"/>
        <v>0</v>
      </c>
      <c r="R22" s="55">
        <f t="shared" si="6"/>
        <v>0</v>
      </c>
      <c r="S22" s="55">
        <f t="shared" si="7"/>
        <v>0</v>
      </c>
      <c r="T22" s="55">
        <f t="shared" si="8"/>
        <v>0</v>
      </c>
      <c r="U22" s="55">
        <f t="shared" si="12"/>
        <v>2808769.1341252746</v>
      </c>
      <c r="V22" s="55">
        <f t="shared" si="9"/>
        <v>0</v>
      </c>
      <c r="W22" s="55">
        <f t="shared" si="10"/>
        <v>0</v>
      </c>
      <c r="X22" s="14">
        <f>SUMPRODUCT((Annee_debut=$A22)*(emprunts!$C$2:$C$149=$C22),fraction_annee_absente)</f>
        <v>0</v>
      </c>
      <c r="Z22" s="14">
        <f t="shared" si="13"/>
        <v>2910277.9241511491</v>
      </c>
      <c r="AA22" s="12">
        <f t="shared" si="11"/>
        <v>8.7964793761507995E-2</v>
      </c>
    </row>
    <row r="23" spans="1:27">
      <c r="A23" s="1">
        <v>2001</v>
      </c>
      <c r="B23" s="1" t="s">
        <v>173</v>
      </c>
      <c r="C23" s="17" t="str">
        <f t="shared" si="0"/>
        <v>Crédit Agricole</v>
      </c>
      <c r="D23" s="2">
        <f>15577054.37*F</f>
        <v>2375068.7070504697</v>
      </c>
      <c r="E23" s="14">
        <f>15577054.37*F</f>
        <v>2375068.7070504697</v>
      </c>
      <c r="F23" s="14">
        <v>0</v>
      </c>
      <c r="G23" s="14">
        <v>0</v>
      </c>
      <c r="H23" s="14">
        <v>0</v>
      </c>
      <c r="I23" s="14">
        <f t="shared" si="14"/>
        <v>0</v>
      </c>
      <c r="J23" s="14">
        <f>146153.84*F</f>
        <v>22284.406509345787</v>
      </c>
      <c r="K23" s="12">
        <f t="shared" si="1"/>
        <v>0</v>
      </c>
      <c r="L23" s="1" t="str">
        <f t="shared" si="2"/>
        <v>2001_0023</v>
      </c>
      <c r="M23" s="14">
        <f t="shared" si="3"/>
        <v>10722044.132949531</v>
      </c>
      <c r="O23" s="55">
        <f t="shared" si="4"/>
        <v>0</v>
      </c>
      <c r="P23" s="55"/>
      <c r="Q23" s="55">
        <f t="shared" si="5"/>
        <v>0</v>
      </c>
      <c r="R23" s="55">
        <f t="shared" si="6"/>
        <v>0</v>
      </c>
      <c r="S23" s="55">
        <f t="shared" si="7"/>
        <v>0</v>
      </c>
      <c r="T23" s="55">
        <f t="shared" si="8"/>
        <v>0</v>
      </c>
      <c r="U23" s="55">
        <f t="shared" si="12"/>
        <v>2375068.7070504697</v>
      </c>
      <c r="V23" s="55">
        <f t="shared" si="9"/>
        <v>0</v>
      </c>
      <c r="W23" s="55">
        <f t="shared" si="10"/>
        <v>0</v>
      </c>
      <c r="X23" s="14">
        <f>SUMPRODUCT((Annee_debut=$A23)*(emprunts!$C$2:$C$149=$C23),fraction_annee_absente)</f>
        <v>0</v>
      </c>
      <c r="Z23" s="14">
        <f t="shared" si="13"/>
        <v>2375068.7070504697</v>
      </c>
      <c r="AA23" s="12">
        <f t="shared" si="11"/>
        <v>0</v>
      </c>
    </row>
    <row r="24" spans="1:27">
      <c r="A24" s="1">
        <v>2001</v>
      </c>
      <c r="B24" s="1" t="s">
        <v>172</v>
      </c>
      <c r="C24" s="17" t="str">
        <f t="shared" si="0"/>
        <v>Rheinboden Hypothekenbank</v>
      </c>
      <c r="D24" s="2">
        <f>63524000*F</f>
        <v>9685647.9384987894</v>
      </c>
      <c r="E24" s="14">
        <f>44614000.03*F</f>
        <v>6802397.4784137402</v>
      </c>
      <c r="F24" s="14">
        <f>6894640.12*F</f>
        <v>1051241.3712135421</v>
      </c>
      <c r="G24" s="14">
        <f>2659640.1*F</f>
        <v>405521.34078007861</v>
      </c>
      <c r="H24" s="14">
        <f>4235000.01*F</f>
        <v>645720.02890874073</v>
      </c>
      <c r="I24" s="14">
        <f t="shared" si="14"/>
        <v>1.5247226692736149E-3</v>
      </c>
      <c r="J24" s="14">
        <f>356968.52*F</f>
        <v>54427.797522935645</v>
      </c>
      <c r="K24" s="12">
        <f t="shared" si="1"/>
        <v>5.1634834316238491E-2</v>
      </c>
      <c r="L24" s="1" t="str">
        <f t="shared" si="2"/>
        <v>2001_0025</v>
      </c>
      <c r="M24" s="14">
        <f t="shared" si="3"/>
        <v>-1037.0184137402102</v>
      </c>
      <c r="O24" s="55">
        <f t="shared" si="4"/>
        <v>0</v>
      </c>
      <c r="P24" s="55"/>
      <c r="Q24" s="55">
        <f t="shared" si="5"/>
        <v>0</v>
      </c>
      <c r="R24" s="55">
        <f t="shared" si="6"/>
        <v>0</v>
      </c>
      <c r="S24" s="55">
        <f t="shared" si="7"/>
        <v>0</v>
      </c>
      <c r="T24" s="55">
        <f t="shared" si="8"/>
        <v>0</v>
      </c>
      <c r="U24" s="55">
        <f t="shared" si="12"/>
        <v>6802397.4784137402</v>
      </c>
      <c r="V24" s="55">
        <f t="shared" si="9"/>
        <v>0</v>
      </c>
      <c r="W24" s="55">
        <f t="shared" si="10"/>
        <v>0</v>
      </c>
      <c r="X24" s="14">
        <f>SUMPRODUCT((Annee_debut=$A24)*(emprunts!$C$2:$C$149=$C24),fraction_annee_absente)</f>
        <v>0</v>
      </c>
      <c r="Z24" s="14">
        <f t="shared" si="13"/>
        <v>7125257.4928681105</v>
      </c>
      <c r="AA24" s="12">
        <f t="shared" si="11"/>
        <v>5.6913219092219108E-2</v>
      </c>
    </row>
    <row r="25" spans="1:27">
      <c r="A25" s="1">
        <v>2002</v>
      </c>
      <c r="B25" s="1" t="s">
        <v>162</v>
      </c>
      <c r="C25" s="17" t="str">
        <f t="shared" si="0"/>
        <v>CDC</v>
      </c>
      <c r="D25" s="2">
        <f>68205986.62</f>
        <v>68205986.620000005</v>
      </c>
      <c r="E25" s="14">
        <v>47763182.329999998</v>
      </c>
      <c r="F25" s="14">
        <v>5272626.82</v>
      </c>
      <c r="G25" s="14">
        <v>2057192.72</v>
      </c>
      <c r="H25" s="14">
        <v>3215434.1</v>
      </c>
      <c r="I25" s="14">
        <f t="shared" si="14"/>
        <v>0</v>
      </c>
      <c r="J25" s="14">
        <v>824326.16</v>
      </c>
      <c r="K25" s="12">
        <f t="shared" si="1"/>
        <v>3.8788749582035931E-2</v>
      </c>
      <c r="L25" s="1" t="str">
        <f t="shared" si="2"/>
        <v>2002_0001</v>
      </c>
      <c r="M25" s="14">
        <f t="shared" si="3"/>
        <v>914821.02000000328</v>
      </c>
      <c r="O25" s="55">
        <f t="shared" si="4"/>
        <v>16037013.32</v>
      </c>
      <c r="P25" s="55"/>
      <c r="Q25" s="55">
        <f t="shared" si="5"/>
        <v>0</v>
      </c>
      <c r="R25" s="55">
        <f t="shared" si="6"/>
        <v>0</v>
      </c>
      <c r="S25" s="55">
        <f t="shared" si="7"/>
        <v>0</v>
      </c>
      <c r="T25" s="55">
        <f t="shared" si="8"/>
        <v>352697.51999999996</v>
      </c>
      <c r="U25" s="55">
        <f t="shared" si="12"/>
        <v>31726169.009999998</v>
      </c>
      <c r="V25" s="55">
        <f t="shared" si="9"/>
        <v>16037013.32</v>
      </c>
      <c r="W25" s="55">
        <f t="shared" si="10"/>
        <v>8718918.8460273966</v>
      </c>
      <c r="X25" s="14">
        <f>SUMPRODUCT((Annee_debut=$A25)*(emprunts!$C$2:$C$149=$C25),fraction_annee_absente)</f>
        <v>6876939.7260273974</v>
      </c>
      <c r="Z25" s="14">
        <f t="shared" si="13"/>
        <v>42052804.906027392</v>
      </c>
      <c r="AA25" s="12">
        <f t="shared" si="11"/>
        <v>4.8919274816437854E-2</v>
      </c>
    </row>
    <row r="26" spans="1:27">
      <c r="A26" s="1">
        <v>2002</v>
      </c>
      <c r="B26" s="1" t="s">
        <v>163</v>
      </c>
      <c r="C26" s="17" t="str">
        <f t="shared" si="0"/>
        <v>Dexia CL</v>
      </c>
      <c r="D26" s="2">
        <v>154216549.72</v>
      </c>
      <c r="E26" s="14">
        <v>84670570.640000001</v>
      </c>
      <c r="F26" s="14">
        <v>9059974.4700000007</v>
      </c>
      <c r="G26" s="14">
        <v>4985765.2699999996</v>
      </c>
      <c r="H26" s="14">
        <v>4074209.2</v>
      </c>
      <c r="I26" s="14">
        <f t="shared" si="14"/>
        <v>0</v>
      </c>
      <c r="J26" s="14">
        <v>1106388.8400000001</v>
      </c>
      <c r="K26" s="12">
        <f t="shared" si="1"/>
        <v>5.3192534665714587E-2</v>
      </c>
      <c r="L26" s="1" t="str">
        <f t="shared" si="2"/>
        <v>2002_0002</v>
      </c>
      <c r="M26" s="14">
        <f t="shared" si="3"/>
        <v>10041820.390000001</v>
      </c>
      <c r="O26" s="55">
        <f t="shared" si="4"/>
        <v>51684490.359999999</v>
      </c>
      <c r="P26" s="55"/>
      <c r="Q26" s="55">
        <f t="shared" si="5"/>
        <v>838645.58000000007</v>
      </c>
      <c r="R26" s="55">
        <f t="shared" si="6"/>
        <v>152449</v>
      </c>
      <c r="S26" s="55">
        <f t="shared" si="7"/>
        <v>0</v>
      </c>
      <c r="T26" s="55">
        <f t="shared" si="8"/>
        <v>677679.96</v>
      </c>
      <c r="U26" s="55">
        <f t="shared" si="12"/>
        <v>32986080.280000001</v>
      </c>
      <c r="V26" s="55">
        <f t="shared" si="9"/>
        <v>51684490.359999999</v>
      </c>
      <c r="W26" s="55">
        <f t="shared" si="10"/>
        <v>34296835.960109591</v>
      </c>
      <c r="X26" s="14">
        <f>SUMPRODUCT((Annee_debut=$A26)*(emprunts!$C$2:$C$149=$C26),fraction_annee_absente)</f>
        <v>17321753.424657531</v>
      </c>
      <c r="Z26" s="14">
        <f t="shared" si="13"/>
        <v>69243796.340109587</v>
      </c>
      <c r="AA26" s="12">
        <f t="shared" si="11"/>
        <v>7.2003060685914277E-2</v>
      </c>
    </row>
    <row r="27" spans="1:27">
      <c r="A27" s="1">
        <v>2002</v>
      </c>
      <c r="B27" s="1" t="s">
        <v>164</v>
      </c>
      <c r="C27" s="17" t="str">
        <f t="shared" si="0"/>
        <v>Caisse d'Épargne</v>
      </c>
      <c r="D27" s="2">
        <v>28695307.809999999</v>
      </c>
      <c r="E27" s="14">
        <v>14472909.539999999</v>
      </c>
      <c r="F27" s="14">
        <v>2233987.19</v>
      </c>
      <c r="G27" s="14">
        <v>401869.39</v>
      </c>
      <c r="H27" s="14">
        <v>1832117.8</v>
      </c>
      <c r="I27" s="14">
        <f t="shared" si="14"/>
        <v>0</v>
      </c>
      <c r="J27" s="14">
        <v>225162.89</v>
      </c>
      <c r="K27" s="12">
        <f t="shared" si="1"/>
        <v>2.4054101518349424E-2</v>
      </c>
      <c r="L27" s="1" t="str">
        <f t="shared" si="2"/>
        <v>2002_0003</v>
      </c>
      <c r="M27" s="14">
        <f t="shared" si="3"/>
        <v>7435595.4900000021</v>
      </c>
      <c r="O27" s="55">
        <f t="shared" si="4"/>
        <v>11859925.98</v>
      </c>
      <c r="P27" s="55"/>
      <c r="Q27" s="55">
        <f t="shared" si="5"/>
        <v>0</v>
      </c>
      <c r="R27" s="55">
        <f t="shared" si="6"/>
        <v>0</v>
      </c>
      <c r="S27" s="55">
        <f t="shared" si="7"/>
        <v>0</v>
      </c>
      <c r="T27" s="55">
        <f t="shared" si="8"/>
        <v>0</v>
      </c>
      <c r="U27" s="55">
        <f t="shared" si="12"/>
        <v>2612983.5599999987</v>
      </c>
      <c r="V27" s="55">
        <f t="shared" si="9"/>
        <v>11859925.98</v>
      </c>
      <c r="W27" s="55">
        <f t="shared" si="10"/>
        <v>11827433.03210959</v>
      </c>
      <c r="X27" s="14">
        <f>SUMPRODUCT((Annee_debut=$A27)*(emprunts!$C$2:$C$149=$C27),fraction_annee_absente)</f>
        <v>0</v>
      </c>
      <c r="Z27" s="14">
        <f t="shared" si="13"/>
        <v>15356475.492109589</v>
      </c>
      <c r="AA27" s="12">
        <f t="shared" si="11"/>
        <v>2.6169376573842554E-2</v>
      </c>
    </row>
    <row r="28" spans="1:27">
      <c r="A28" s="1">
        <v>2002</v>
      </c>
      <c r="B28" s="1" t="s">
        <v>165</v>
      </c>
      <c r="C28" s="17" t="str">
        <f t="shared" si="0"/>
        <v>Crédit Mutuel</v>
      </c>
      <c r="D28" s="2">
        <v>6479083.2300000004</v>
      </c>
      <c r="E28" s="14">
        <v>4889952.18</v>
      </c>
      <c r="F28" s="14">
        <v>324097.93</v>
      </c>
      <c r="G28" s="14">
        <v>284456.45</v>
      </c>
      <c r="H28" s="14">
        <v>39641.480000000003</v>
      </c>
      <c r="I28" s="14">
        <f t="shared" si="14"/>
        <v>0</v>
      </c>
      <c r="J28" s="14">
        <v>29945.22</v>
      </c>
      <c r="K28" s="12">
        <f t="shared" si="1"/>
        <v>5.4555756849064892E-2</v>
      </c>
      <c r="L28" s="1" t="str">
        <f t="shared" si="2"/>
        <v>2002_0004</v>
      </c>
      <c r="M28" s="14">
        <f t="shared" si="3"/>
        <v>253957.87000000011</v>
      </c>
      <c r="O28" s="55">
        <f t="shared" si="4"/>
        <v>1948397</v>
      </c>
      <c r="P28" s="55"/>
      <c r="Q28" s="55">
        <f t="shared" si="5"/>
        <v>105637.61</v>
      </c>
      <c r="R28" s="55">
        <f t="shared" si="6"/>
        <v>0</v>
      </c>
      <c r="S28" s="55">
        <f t="shared" si="7"/>
        <v>0</v>
      </c>
      <c r="T28" s="55">
        <f t="shared" si="8"/>
        <v>29945.22</v>
      </c>
      <c r="U28" s="55">
        <f t="shared" si="12"/>
        <v>2941555.1799999997</v>
      </c>
      <c r="V28" s="55">
        <f t="shared" si="9"/>
        <v>1948397</v>
      </c>
      <c r="W28" s="55">
        <f t="shared" si="10"/>
        <v>1943058.9260273974</v>
      </c>
      <c r="X28" s="14">
        <f>SUMPRODUCT((Annee_debut=$A28)*(emprunts!$C$2:$C$149=$C28),fraction_annee_absente)</f>
        <v>0</v>
      </c>
      <c r="Z28" s="14">
        <f t="shared" si="13"/>
        <v>4904434.8460273976</v>
      </c>
      <c r="AA28" s="12">
        <f t="shared" si="11"/>
        <v>5.7999842781153534E-2</v>
      </c>
    </row>
    <row r="29" spans="1:27">
      <c r="A29" s="1">
        <v>2002</v>
      </c>
      <c r="B29" s="1" t="s">
        <v>166</v>
      </c>
      <c r="C29" s="17" t="str">
        <f t="shared" si="0"/>
        <v>Société générale</v>
      </c>
      <c r="D29" s="2">
        <v>3087022.31</v>
      </c>
      <c r="E29" s="14">
        <v>2335990.7599999998</v>
      </c>
      <c r="F29" s="14">
        <v>559694.9</v>
      </c>
      <c r="G29" s="14">
        <v>172641.03</v>
      </c>
      <c r="H29" s="14">
        <v>387053.87</v>
      </c>
      <c r="I29" s="14">
        <f t="shared" si="14"/>
        <v>0</v>
      </c>
      <c r="J29" s="14">
        <v>85209.26</v>
      </c>
      <c r="K29" s="12">
        <f t="shared" si="1"/>
        <v>5.9620086663688496E-2</v>
      </c>
      <c r="L29" s="1" t="str">
        <f t="shared" si="2"/>
        <v>2002_0005</v>
      </c>
      <c r="M29" s="14">
        <f t="shared" si="3"/>
        <v>1.0000000242143869E-2</v>
      </c>
      <c r="O29" s="55">
        <f t="shared" si="4"/>
        <v>0</v>
      </c>
      <c r="P29" s="55"/>
      <c r="Q29" s="55">
        <f t="shared" si="5"/>
        <v>0</v>
      </c>
      <c r="R29" s="55">
        <f t="shared" si="6"/>
        <v>0</v>
      </c>
      <c r="S29" s="55">
        <f t="shared" si="7"/>
        <v>0</v>
      </c>
      <c r="T29" s="55">
        <f t="shared" si="8"/>
        <v>0</v>
      </c>
      <c r="U29" s="55">
        <f t="shared" si="12"/>
        <v>2335990.7599999998</v>
      </c>
      <c r="V29" s="55">
        <f t="shared" si="9"/>
        <v>0</v>
      </c>
      <c r="W29" s="55">
        <f t="shared" si="10"/>
        <v>0</v>
      </c>
      <c r="X29" s="14">
        <f>SUMPRODUCT((Annee_debut=$A29)*(emprunts!$C$2:$C$149=$C29),fraction_annee_absente)</f>
        <v>0</v>
      </c>
      <c r="Z29" s="14">
        <f t="shared" si="13"/>
        <v>2529517.6949999998</v>
      </c>
      <c r="AA29" s="12">
        <f t="shared" si="11"/>
        <v>6.8250572170834328E-2</v>
      </c>
    </row>
    <row r="30" spans="1:27">
      <c r="A30" s="1">
        <v>2002</v>
      </c>
      <c r="B30" s="1" t="s">
        <v>167</v>
      </c>
      <c r="C30" s="17" t="str">
        <f t="shared" si="0"/>
        <v>Crédit Foncier</v>
      </c>
      <c r="D30" s="2">
        <v>6036066.4000000004</v>
      </c>
      <c r="E30" s="14">
        <v>3499004.1</v>
      </c>
      <c r="F30" s="14">
        <v>732888.76</v>
      </c>
      <c r="G30" s="14">
        <v>292301.88</v>
      </c>
      <c r="H30" s="14">
        <v>440586.88</v>
      </c>
      <c r="I30" s="14">
        <f t="shared" si="14"/>
        <v>0</v>
      </c>
      <c r="J30" s="14">
        <v>0</v>
      </c>
      <c r="K30" s="12">
        <f t="shared" si="1"/>
        <v>6.9071190994187875E-2</v>
      </c>
      <c r="L30" s="1" t="str">
        <f t="shared" si="2"/>
        <v>2002_0014</v>
      </c>
      <c r="M30" s="14">
        <f t="shared" si="3"/>
        <v>0</v>
      </c>
      <c r="O30" s="55">
        <f t="shared" si="4"/>
        <v>0</v>
      </c>
      <c r="P30" s="55"/>
      <c r="Q30" s="55">
        <f t="shared" si="5"/>
        <v>0</v>
      </c>
      <c r="R30" s="55">
        <f t="shared" si="6"/>
        <v>0</v>
      </c>
      <c r="S30" s="55">
        <f t="shared" si="7"/>
        <v>0</v>
      </c>
      <c r="T30" s="55">
        <f t="shared" si="8"/>
        <v>0</v>
      </c>
      <c r="U30" s="55">
        <f t="shared" si="12"/>
        <v>3499004.1</v>
      </c>
      <c r="V30" s="55">
        <f t="shared" si="9"/>
        <v>0</v>
      </c>
      <c r="W30" s="55">
        <f t="shared" si="10"/>
        <v>0</v>
      </c>
      <c r="X30" s="14">
        <f>SUMPRODUCT((Annee_debut=$A30)*(emprunts!$C$2:$C$149=$C30),fraction_annee_absente)</f>
        <v>0</v>
      </c>
      <c r="Z30" s="14">
        <f t="shared" si="13"/>
        <v>3719297.54</v>
      </c>
      <c r="AA30" s="12">
        <f t="shared" si="11"/>
        <v>7.859061472129493E-2</v>
      </c>
    </row>
    <row r="31" spans="1:27">
      <c r="A31" s="1">
        <v>2002</v>
      </c>
      <c r="B31" s="1" t="s">
        <v>168</v>
      </c>
      <c r="C31" s="17" t="str">
        <f t="shared" si="0"/>
        <v>Auxifip CEPME</v>
      </c>
      <c r="D31" s="2">
        <v>5579634.0199999996</v>
      </c>
      <c r="E31" s="14">
        <v>3347605.89</v>
      </c>
      <c r="F31" s="14">
        <v>680460.80000000005</v>
      </c>
      <c r="G31" s="14">
        <v>284689.44</v>
      </c>
      <c r="H31" s="14">
        <v>395771.36</v>
      </c>
      <c r="I31" s="14">
        <f t="shared" si="14"/>
        <v>0</v>
      </c>
      <c r="J31" s="14">
        <v>0</v>
      </c>
      <c r="K31" s="12">
        <f t="shared" si="1"/>
        <v>7.0676446521296288E-2</v>
      </c>
      <c r="L31" s="1" t="str">
        <f t="shared" si="2"/>
        <v>2002_0015</v>
      </c>
      <c r="M31" s="14">
        <f t="shared" si="3"/>
        <v>0</v>
      </c>
      <c r="O31" s="55">
        <f t="shared" si="4"/>
        <v>0</v>
      </c>
      <c r="P31" s="55"/>
      <c r="Q31" s="55">
        <f t="shared" si="5"/>
        <v>0</v>
      </c>
      <c r="R31" s="55">
        <f t="shared" si="6"/>
        <v>0</v>
      </c>
      <c r="S31" s="55">
        <f t="shared" si="7"/>
        <v>0</v>
      </c>
      <c r="T31" s="55">
        <f t="shared" si="8"/>
        <v>0</v>
      </c>
      <c r="U31" s="55">
        <f t="shared" si="12"/>
        <v>3347605.89</v>
      </c>
      <c r="V31" s="55">
        <f t="shared" si="9"/>
        <v>0</v>
      </c>
      <c r="W31" s="55">
        <f t="shared" si="10"/>
        <v>0</v>
      </c>
      <c r="X31" s="14">
        <f>SUMPRODUCT((Annee_debut=$A31)*(emprunts!$C$2:$C$149=$C31),fraction_annee_absente)</f>
        <v>0</v>
      </c>
      <c r="Z31" s="14">
        <f t="shared" si="13"/>
        <v>3545491.5700000003</v>
      </c>
      <c r="AA31" s="12">
        <f t="shared" si="11"/>
        <v>8.0296183019834391E-2</v>
      </c>
    </row>
    <row r="32" spans="1:27">
      <c r="A32" s="1">
        <v>2002</v>
      </c>
      <c r="B32" s="1" t="s">
        <v>169</v>
      </c>
      <c r="C32" s="17" t="str">
        <f t="shared" si="0"/>
        <v>Natixis</v>
      </c>
      <c r="D32" s="2">
        <v>6307855.2400000002</v>
      </c>
      <c r="E32" s="14">
        <v>0</v>
      </c>
      <c r="F32" s="14">
        <v>4720459.96</v>
      </c>
      <c r="G32" s="14">
        <v>108877.19</v>
      </c>
      <c r="H32" s="14">
        <v>4611582.7699999996</v>
      </c>
      <c r="I32" s="14">
        <f t="shared" si="14"/>
        <v>0</v>
      </c>
      <c r="J32" s="14">
        <v>95788.13</v>
      </c>
      <c r="K32" s="12">
        <f t="shared" si="1"/>
        <v>2.3064953611003618E-2</v>
      </c>
      <c r="L32" s="1" t="str">
        <f t="shared" si="2"/>
        <v>2002_0016</v>
      </c>
      <c r="M32" s="14" t="str">
        <f t="shared" si="3"/>
        <v/>
      </c>
      <c r="O32" s="55">
        <f t="shared" si="4"/>
        <v>0</v>
      </c>
      <c r="P32" s="55"/>
      <c r="Q32" s="55">
        <f t="shared" si="5"/>
        <v>0</v>
      </c>
      <c r="R32" s="55">
        <f t="shared" si="6"/>
        <v>0</v>
      </c>
      <c r="S32" s="55">
        <f t="shared" si="7"/>
        <v>0</v>
      </c>
      <c r="T32" s="55">
        <f t="shared" si="8"/>
        <v>0</v>
      </c>
      <c r="U32" s="55">
        <f t="shared" si="12"/>
        <v>0</v>
      </c>
      <c r="V32" s="55">
        <f t="shared" si="9"/>
        <v>0</v>
      </c>
      <c r="W32" s="55">
        <f t="shared" si="10"/>
        <v>0</v>
      </c>
      <c r="X32" s="14">
        <f>SUMPRODUCT((Annee_debut=$A32)*(emprunts!$C$2:$C$149=$C32),fraction_annee_absente)</f>
        <v>0</v>
      </c>
      <c r="Z32" s="14">
        <f t="shared" si="13"/>
        <v>2305791.3849999998</v>
      </c>
      <c r="AA32" s="12">
        <f t="shared" si="11"/>
        <v>4.7219011532563263E-2</v>
      </c>
    </row>
    <row r="33" spans="1:27">
      <c r="A33" s="1">
        <v>2002</v>
      </c>
      <c r="B33" s="1" t="s">
        <v>170</v>
      </c>
      <c r="C33" s="17" t="str">
        <f t="shared" si="0"/>
        <v>Krebitbank BW</v>
      </c>
      <c r="D33" s="2">
        <v>10701921.01</v>
      </c>
      <c r="E33" s="14">
        <v>0</v>
      </c>
      <c r="F33" s="14">
        <v>6707990.79</v>
      </c>
      <c r="G33" s="14">
        <v>390183.54</v>
      </c>
      <c r="H33" s="14">
        <v>6317807.25</v>
      </c>
      <c r="I33" s="14">
        <f t="shared" si="14"/>
        <v>0</v>
      </c>
      <c r="J33" s="14">
        <v>0</v>
      </c>
      <c r="K33" s="12">
        <f t="shared" si="1"/>
        <v>5.8166976105821395E-2</v>
      </c>
      <c r="L33" s="1" t="str">
        <f t="shared" si="2"/>
        <v>2002_0021</v>
      </c>
      <c r="M33" s="14" t="str">
        <f t="shared" si="3"/>
        <v/>
      </c>
      <c r="O33" s="55">
        <f t="shared" si="4"/>
        <v>0</v>
      </c>
      <c r="P33" s="55"/>
      <c r="Q33" s="55">
        <f t="shared" si="5"/>
        <v>0</v>
      </c>
      <c r="R33" s="55">
        <f t="shared" si="6"/>
        <v>0</v>
      </c>
      <c r="S33" s="55">
        <f t="shared" si="7"/>
        <v>0</v>
      </c>
      <c r="T33" s="55">
        <f t="shared" si="8"/>
        <v>0</v>
      </c>
      <c r="U33" s="55">
        <f t="shared" si="12"/>
        <v>0</v>
      </c>
      <c r="V33" s="55">
        <f t="shared" si="9"/>
        <v>0</v>
      </c>
      <c r="W33" s="55">
        <f t="shared" si="10"/>
        <v>0</v>
      </c>
      <c r="X33" s="14">
        <f>SUMPRODUCT((Annee_debut=$A33)*(emprunts!$C$2:$C$149=$C33),fraction_annee_absente)</f>
        <v>0</v>
      </c>
      <c r="Z33" s="14">
        <f t="shared" si="13"/>
        <v>3158903.625</v>
      </c>
      <c r="AA33" s="12">
        <f t="shared" si="11"/>
        <v>0.123518659104391</v>
      </c>
    </row>
    <row r="34" spans="1:27">
      <c r="A34" s="1">
        <v>2002</v>
      </c>
      <c r="B34" s="1" t="s">
        <v>171</v>
      </c>
      <c r="C34" s="17" t="str">
        <f t="shared" si="0"/>
        <v>Deutsche Hypothekenbank</v>
      </c>
      <c r="D34" s="2">
        <v>3811225.43</v>
      </c>
      <c r="E34" s="14">
        <v>2588100.44</v>
      </c>
      <c r="F34" s="14">
        <v>458949.6</v>
      </c>
      <c r="G34" s="14">
        <v>238709.1</v>
      </c>
      <c r="H34" s="14">
        <v>220240.5</v>
      </c>
      <c r="I34" s="14">
        <f t="shared" si="14"/>
        <v>0</v>
      </c>
      <c r="J34" s="14">
        <v>0</v>
      </c>
      <c r="K34" s="12">
        <f t="shared" si="1"/>
        <v>7.8341050152231834E-2</v>
      </c>
      <c r="L34" s="1" t="str">
        <f t="shared" si="2"/>
        <v>2002_0022</v>
      </c>
      <c r="M34" s="14">
        <f t="shared" si="3"/>
        <v>0</v>
      </c>
      <c r="O34" s="55">
        <f t="shared" ref="O34:O97" si="15">SUMPRODUCT((annee=$A34)*(preteur=$C34),encours)</f>
        <v>0</v>
      </c>
      <c r="P34" s="55"/>
      <c r="Q34" s="55">
        <f t="shared" si="5"/>
        <v>0</v>
      </c>
      <c r="R34" s="55">
        <f t="shared" si="6"/>
        <v>0</v>
      </c>
      <c r="S34" s="55">
        <f t="shared" si="7"/>
        <v>0</v>
      </c>
      <c r="T34" s="55">
        <f t="shared" si="8"/>
        <v>0</v>
      </c>
      <c r="U34" s="55">
        <f t="shared" si="12"/>
        <v>2588100.44</v>
      </c>
      <c r="V34" s="55">
        <f t="shared" si="9"/>
        <v>0</v>
      </c>
      <c r="W34" s="55">
        <f t="shared" si="10"/>
        <v>0</v>
      </c>
      <c r="X34" s="14">
        <f>SUMPRODUCT((Annee_debut=$A34)*(emprunts!$C$2:$C$149=$C34),fraction_annee_absente)</f>
        <v>0</v>
      </c>
      <c r="Z34" s="14">
        <f t="shared" si="13"/>
        <v>2698220.69</v>
      </c>
      <c r="AA34" s="12">
        <f t="shared" si="11"/>
        <v>8.8469079228652714E-2</v>
      </c>
    </row>
    <row r="35" spans="1:27">
      <c r="A35" s="1">
        <v>2002</v>
      </c>
      <c r="B35" s="1" t="s">
        <v>173</v>
      </c>
      <c r="C35" s="17" t="str">
        <f t="shared" si="0"/>
        <v>Crédit Agricole</v>
      </c>
      <c r="D35" s="2">
        <v>13097112.84</v>
      </c>
      <c r="E35" s="14">
        <v>13097112.84</v>
      </c>
      <c r="F35" s="14">
        <v>0</v>
      </c>
      <c r="G35" s="14">
        <v>211666.26</v>
      </c>
      <c r="H35" s="14">
        <v>0</v>
      </c>
      <c r="I35" s="14">
        <v>0</v>
      </c>
      <c r="J35" s="14">
        <v>0</v>
      </c>
      <c r="K35" s="12">
        <f t="shared" si="1"/>
        <v>1.6161291620970717E-2</v>
      </c>
      <c r="L35" s="1" t="str">
        <f t="shared" si="2"/>
        <v>2002_0023</v>
      </c>
      <c r="M35" s="14">
        <f t="shared" si="3"/>
        <v>0</v>
      </c>
      <c r="N35" t="s">
        <v>157</v>
      </c>
      <c r="O35" s="55">
        <f t="shared" si="15"/>
        <v>13097112.84</v>
      </c>
      <c r="P35" s="55"/>
      <c r="Q35" s="55">
        <f t="shared" si="5"/>
        <v>211666.26</v>
      </c>
      <c r="R35" s="55">
        <f t="shared" si="6"/>
        <v>0</v>
      </c>
      <c r="S35" s="55">
        <f t="shared" si="7"/>
        <v>0</v>
      </c>
      <c r="T35" s="55">
        <f t="shared" si="8"/>
        <v>0</v>
      </c>
      <c r="U35" s="55">
        <f t="shared" si="12"/>
        <v>0</v>
      </c>
      <c r="V35" s="55">
        <f t="shared" si="9"/>
        <v>13097112.84</v>
      </c>
      <c r="W35" s="55">
        <f t="shared" si="10"/>
        <v>9329450.2421917804</v>
      </c>
      <c r="X35" s="14">
        <f>SUMPRODUCT((Annee_debut=$A35)*(emprunts!$C$2:$C$149=$C35),fraction_annee_absente)</f>
        <v>3731747.9452054794</v>
      </c>
      <c r="Z35" s="14">
        <f t="shared" si="13"/>
        <v>9329450.2421917804</v>
      </c>
      <c r="AA35" s="12">
        <f t="shared" si="11"/>
        <v>2.2687967083285819E-2</v>
      </c>
    </row>
    <row r="36" spans="1:27">
      <c r="A36" s="1">
        <v>2002</v>
      </c>
      <c r="B36" s="1" t="s">
        <v>172</v>
      </c>
      <c r="C36" s="17" t="str">
        <f t="shared" si="0"/>
        <v>Rheinboden Hypothekenbank</v>
      </c>
      <c r="D36" s="2">
        <v>9684171.3699999992</v>
      </c>
      <c r="E36" s="14">
        <v>6155738.8700000001</v>
      </c>
      <c r="F36" s="14">
        <v>1028719.65</v>
      </c>
      <c r="G36" s="14">
        <v>383098.06</v>
      </c>
      <c r="H36" s="14">
        <v>645621.59</v>
      </c>
      <c r="I36" s="14">
        <f t="shared" ref="I36:I67" si="16">F36-SUM(G36:H36)</f>
        <v>0</v>
      </c>
      <c r="J36" s="14">
        <v>49694.13</v>
      </c>
      <c r="K36" s="12">
        <f t="shared" si="1"/>
        <v>5.3323164012087573E-2</v>
      </c>
      <c r="L36" s="1" t="str">
        <f t="shared" si="2"/>
        <v>2002_0025</v>
      </c>
      <c r="M36" s="14">
        <f t="shared" si="3"/>
        <v>0</v>
      </c>
      <c r="O36" s="55">
        <f t="shared" si="15"/>
        <v>0</v>
      </c>
      <c r="P36" s="55"/>
      <c r="Q36" s="55">
        <f t="shared" si="5"/>
        <v>0</v>
      </c>
      <c r="R36" s="55">
        <f t="shared" si="6"/>
        <v>0</v>
      </c>
      <c r="S36" s="55">
        <f t="shared" si="7"/>
        <v>0</v>
      </c>
      <c r="T36" s="55">
        <f t="shared" si="8"/>
        <v>0</v>
      </c>
      <c r="U36" s="55">
        <f t="shared" si="12"/>
        <v>6155738.8700000001</v>
      </c>
      <c r="V36" s="55">
        <f t="shared" si="9"/>
        <v>0</v>
      </c>
      <c r="W36" s="55">
        <f t="shared" si="10"/>
        <v>0</v>
      </c>
      <c r="X36" s="14">
        <f>SUMPRODUCT((Annee_debut=$A36)*(emprunts!$C$2:$C$149=$C36),fraction_annee_absente)</f>
        <v>0</v>
      </c>
      <c r="Z36" s="14">
        <f t="shared" si="13"/>
        <v>6478549.665</v>
      </c>
      <c r="AA36" s="12">
        <f t="shared" si="11"/>
        <v>5.9133306034476467E-2</v>
      </c>
    </row>
    <row r="37" spans="1:27">
      <c r="A37">
        <v>2003</v>
      </c>
      <c r="B37" s="1" t="s">
        <v>162</v>
      </c>
      <c r="C37" s="17" t="str">
        <f t="shared" si="0"/>
        <v>CDC</v>
      </c>
      <c r="D37" s="2">
        <v>63046175.060000002</v>
      </c>
      <c r="E37" s="14">
        <v>44695726.399999999</v>
      </c>
      <c r="F37" s="14">
        <v>6200383.9400000004</v>
      </c>
      <c r="G37" s="14">
        <v>2218106.9900000002</v>
      </c>
      <c r="H37" s="14">
        <v>3982276.95</v>
      </c>
      <c r="I37" s="14">
        <f t="shared" si="16"/>
        <v>0</v>
      </c>
      <c r="J37" s="14">
        <v>935503.61</v>
      </c>
      <c r="K37" s="12">
        <f t="shared" si="1"/>
        <v>4.3581070835913317E-2</v>
      </c>
      <c r="L37" s="1" t="str">
        <f t="shared" si="2"/>
        <v>2003_0001</v>
      </c>
      <c r="M37" s="14">
        <f t="shared" si="3"/>
        <v>30489.80000000447</v>
      </c>
      <c r="O37" s="55">
        <f t="shared" si="15"/>
        <v>14987276.270000001</v>
      </c>
      <c r="P37" s="55"/>
      <c r="Q37" s="55">
        <f t="shared" si="5"/>
        <v>500161.92</v>
      </c>
      <c r="R37" s="55">
        <f t="shared" si="6"/>
        <v>1049863.8599999999</v>
      </c>
      <c r="S37" s="55">
        <f t="shared" si="7"/>
        <v>0</v>
      </c>
      <c r="T37" s="55">
        <f t="shared" si="8"/>
        <v>490931.15</v>
      </c>
      <c r="U37" s="55">
        <f t="shared" si="12"/>
        <v>29708450.129999995</v>
      </c>
      <c r="V37" s="55">
        <f t="shared" si="9"/>
        <v>14987276.270000001</v>
      </c>
      <c r="W37" s="55">
        <f t="shared" si="10"/>
        <v>13909890.345534246</v>
      </c>
      <c r="X37" s="14">
        <f>SUMPRODUCT((Annee_debut=$A37)*(emprunts!$C$2:$C$149=$C37),fraction_annee_absente)</f>
        <v>0</v>
      </c>
      <c r="Z37" s="14">
        <f t="shared" si="13"/>
        <v>45084547.020534247</v>
      </c>
      <c r="AA37" s="12">
        <f t="shared" si="11"/>
        <v>4.91988305658198E-2</v>
      </c>
    </row>
    <row r="38" spans="1:27">
      <c r="A38">
        <v>2003</v>
      </c>
      <c r="B38" s="1" t="s">
        <v>163</v>
      </c>
      <c r="C38" s="17" t="str">
        <f t="shared" si="0"/>
        <v>Dexia CL</v>
      </c>
      <c r="D38" s="2">
        <v>129700828.62</v>
      </c>
      <c r="E38" s="14">
        <v>87083841.930000007</v>
      </c>
      <c r="F38" s="14">
        <v>11425022.390000001</v>
      </c>
      <c r="G38" s="14">
        <v>3796473.29</v>
      </c>
      <c r="H38" s="14">
        <v>7628549.0999999996</v>
      </c>
      <c r="I38" s="14">
        <f t="shared" si="16"/>
        <v>0</v>
      </c>
      <c r="J38" s="14">
        <v>1441063.59</v>
      </c>
      <c r="K38" s="12">
        <f t="shared" si="1"/>
        <v>3.8539407759969592E-2</v>
      </c>
      <c r="L38" s="1" t="str">
        <f t="shared" si="2"/>
        <v>2003_0002</v>
      </c>
      <c r="M38" s="14">
        <f t="shared" si="3"/>
        <v>18731159.719999984</v>
      </c>
      <c r="O38" s="55">
        <f t="shared" si="15"/>
        <v>82607450.599999994</v>
      </c>
      <c r="P38" s="55"/>
      <c r="Q38" s="55">
        <f t="shared" si="5"/>
        <v>2400072.1</v>
      </c>
      <c r="R38" s="55">
        <f t="shared" si="6"/>
        <v>1949403.71</v>
      </c>
      <c r="S38" s="55">
        <f t="shared" si="7"/>
        <v>0</v>
      </c>
      <c r="T38" s="55">
        <f t="shared" si="8"/>
        <v>1348577.5999999999</v>
      </c>
      <c r="U38" s="55">
        <f t="shared" si="12"/>
        <v>4476391.3300000131</v>
      </c>
      <c r="V38" s="55">
        <f t="shared" si="9"/>
        <v>82607450.599999994</v>
      </c>
      <c r="W38" s="55">
        <f t="shared" si="10"/>
        <v>77073429.040958911</v>
      </c>
      <c r="X38" s="14">
        <f>SUMPRODUCT((Annee_debut=$A38)*(emprunts!$C$2:$C$149=$C38),fraction_annee_absente)</f>
        <v>8152002.7397260265</v>
      </c>
      <c r="Z38" s="14">
        <f t="shared" si="13"/>
        <v>84389393.065958917</v>
      </c>
      <c r="AA38" s="12">
        <f t="shared" si="11"/>
        <v>4.4987564811997983E-2</v>
      </c>
    </row>
    <row r="39" spans="1:27">
      <c r="A39">
        <v>2003</v>
      </c>
      <c r="B39" s="1" t="s">
        <v>164</v>
      </c>
      <c r="C39" s="17" t="str">
        <f t="shared" si="0"/>
        <v>Caisse d'Épargne</v>
      </c>
      <c r="D39" s="2">
        <v>26214787.010000002</v>
      </c>
      <c r="E39" s="14">
        <v>14906782.699999999</v>
      </c>
      <c r="F39" s="14">
        <v>7840191.5599999996</v>
      </c>
      <c r="G39" s="14">
        <v>838469.23</v>
      </c>
      <c r="H39" s="14">
        <v>7001722.3300000001</v>
      </c>
      <c r="I39" s="14">
        <f t="shared" si="16"/>
        <v>0</v>
      </c>
      <c r="J39" s="14">
        <v>407918.6</v>
      </c>
      <c r="K39" s="12">
        <f t="shared" si="1"/>
        <v>3.6860692785608315E-2</v>
      </c>
      <c r="L39" s="1" t="str">
        <f t="shared" si="2"/>
        <v>2003_0003</v>
      </c>
      <c r="M39" s="14">
        <f t="shared" si="3"/>
        <v>4324063.9199999981</v>
      </c>
      <c r="O39" s="55">
        <f t="shared" si="15"/>
        <v>13584164.290000001</v>
      </c>
      <c r="P39" s="55"/>
      <c r="Q39" s="55">
        <f t="shared" si="5"/>
        <v>680519.52</v>
      </c>
      <c r="R39" s="55">
        <f t="shared" si="6"/>
        <v>5076761.6900000004</v>
      </c>
      <c r="S39" s="55">
        <f t="shared" si="7"/>
        <v>0</v>
      </c>
      <c r="T39" s="55">
        <f t="shared" si="8"/>
        <v>384666.20999999996</v>
      </c>
      <c r="U39" s="55">
        <f t="shared" si="12"/>
        <v>1322618.4099999983</v>
      </c>
      <c r="V39" s="55">
        <f t="shared" si="9"/>
        <v>13584164.290000001</v>
      </c>
      <c r="W39" s="55">
        <f t="shared" si="10"/>
        <v>13602723.217739727</v>
      </c>
      <c r="X39" s="14">
        <f>SUMPRODUCT((Annee_debut=$A39)*(emprunts!$C$2:$C$149=$C39),fraction_annee_absente)</f>
        <v>3864216.4383561648</v>
      </c>
      <c r="Z39" s="14">
        <f t="shared" si="13"/>
        <v>15887821.947739726</v>
      </c>
      <c r="AA39" s="12">
        <f t="shared" si="11"/>
        <v>5.2774334503370011E-2</v>
      </c>
    </row>
    <row r="40" spans="1:27">
      <c r="A40">
        <v>2003</v>
      </c>
      <c r="B40" s="1" t="s">
        <v>165</v>
      </c>
      <c r="C40" s="17" t="str">
        <f t="shared" si="0"/>
        <v>Crédit Mutuel</v>
      </c>
      <c r="D40" s="2">
        <v>6479083.2300000004</v>
      </c>
      <c r="E40" s="14">
        <v>5100106.21</v>
      </c>
      <c r="F40" s="14">
        <v>280870.02</v>
      </c>
      <c r="G40" s="14">
        <v>237066.18</v>
      </c>
      <c r="H40" s="14">
        <v>43803.839999999997</v>
      </c>
      <c r="I40" s="14">
        <f t="shared" si="16"/>
        <v>0</v>
      </c>
      <c r="J40" s="14">
        <v>31982.13</v>
      </c>
      <c r="K40" s="12">
        <f t="shared" si="1"/>
        <v>4.405635146245572E-2</v>
      </c>
      <c r="L40" s="1" t="str">
        <f t="shared" si="2"/>
        <v>2003_0004</v>
      </c>
      <c r="M40" s="14">
        <f t="shared" si="3"/>
        <v>0</v>
      </c>
      <c r="O40" s="55">
        <f t="shared" si="15"/>
        <v>1989050.0699999998</v>
      </c>
      <c r="P40" s="55"/>
      <c r="Q40" s="55">
        <f t="shared" si="5"/>
        <v>106839.48000000001</v>
      </c>
      <c r="R40" s="55">
        <f t="shared" si="6"/>
        <v>0</v>
      </c>
      <c r="S40" s="55">
        <f t="shared" si="7"/>
        <v>0</v>
      </c>
      <c r="T40" s="55">
        <f t="shared" si="8"/>
        <v>31982.129999999997</v>
      </c>
      <c r="U40" s="55">
        <f t="shared" si="12"/>
        <v>3111056.14</v>
      </c>
      <c r="V40" s="55">
        <f t="shared" si="9"/>
        <v>1989050.0699999998</v>
      </c>
      <c r="W40" s="55">
        <f t="shared" si="10"/>
        <v>1983600.6177534247</v>
      </c>
      <c r="X40" s="14">
        <f>SUMPRODUCT((Annee_debut=$A40)*(emprunts!$C$2:$C$149=$C40),fraction_annee_absente)</f>
        <v>0</v>
      </c>
      <c r="Z40" s="14">
        <f t="shared" si="13"/>
        <v>5116558.6777534243</v>
      </c>
      <c r="AA40" s="12">
        <f t="shared" si="11"/>
        <v>4.6333130318773334E-2</v>
      </c>
    </row>
    <row r="41" spans="1:27">
      <c r="A41">
        <v>2003</v>
      </c>
      <c r="B41" s="1" t="s">
        <v>166</v>
      </c>
      <c r="C41" s="17" t="str">
        <f t="shared" si="0"/>
        <v>Société générale</v>
      </c>
      <c r="D41" s="2">
        <v>3087022.31</v>
      </c>
      <c r="E41" s="14">
        <v>1924397.67</v>
      </c>
      <c r="F41" s="14">
        <v>559694.91</v>
      </c>
      <c r="G41" s="14">
        <v>148101.81</v>
      </c>
      <c r="H41" s="14">
        <v>411593.1</v>
      </c>
      <c r="I41" s="14">
        <f t="shared" si="16"/>
        <v>0</v>
      </c>
      <c r="J41" s="14">
        <v>70003.91</v>
      </c>
      <c r="K41" s="12">
        <f t="shared" si="1"/>
        <v>5.9620084691046418E-2</v>
      </c>
      <c r="L41" s="1" t="str">
        <f t="shared" si="2"/>
        <v>2003_0005</v>
      </c>
      <c r="M41" s="14">
        <f t="shared" si="3"/>
        <v>2.3283064365386963E-10</v>
      </c>
      <c r="O41" s="55">
        <f t="shared" si="15"/>
        <v>0</v>
      </c>
      <c r="P41" s="55"/>
      <c r="Q41" s="55">
        <f t="shared" si="5"/>
        <v>0</v>
      </c>
      <c r="R41" s="55">
        <f t="shared" si="6"/>
        <v>0</v>
      </c>
      <c r="S41" s="55">
        <f t="shared" si="7"/>
        <v>0</v>
      </c>
      <c r="T41" s="55">
        <f t="shared" si="8"/>
        <v>0</v>
      </c>
      <c r="U41" s="55">
        <f t="shared" si="12"/>
        <v>1924397.67</v>
      </c>
      <c r="V41" s="55">
        <f t="shared" si="9"/>
        <v>0</v>
      </c>
      <c r="W41" s="55">
        <f t="shared" si="10"/>
        <v>0</v>
      </c>
      <c r="X41" s="14">
        <f>SUMPRODUCT((Annee_debut=$A41)*(emprunts!$C$2:$C$149=$C41),fraction_annee_absente)</f>
        <v>0</v>
      </c>
      <c r="Z41" s="14">
        <f t="shared" si="13"/>
        <v>2130194.2199999997</v>
      </c>
      <c r="AA41" s="12">
        <f t="shared" si="11"/>
        <v>6.9525026689819872E-2</v>
      </c>
    </row>
    <row r="42" spans="1:27">
      <c r="A42">
        <v>2003</v>
      </c>
      <c r="B42" s="1" t="s">
        <v>167</v>
      </c>
      <c r="C42" s="17" t="str">
        <f t="shared" si="0"/>
        <v>Crédit Foncier</v>
      </c>
      <c r="D42" s="2">
        <v>6036066.4000000004</v>
      </c>
      <c r="E42" s="14">
        <v>2106447.29</v>
      </c>
      <c r="F42" s="14">
        <v>1647148.52</v>
      </c>
      <c r="G42" s="14">
        <v>254591.71</v>
      </c>
      <c r="H42" s="14">
        <v>1392556.81</v>
      </c>
      <c r="I42" s="14">
        <f t="shared" si="16"/>
        <v>0</v>
      </c>
      <c r="J42" s="14">
        <v>0</v>
      </c>
      <c r="K42" s="12">
        <f t="shared" si="1"/>
        <v>6.7826085409020104E-2</v>
      </c>
      <c r="L42" s="1" t="str">
        <f t="shared" si="2"/>
        <v>2003_0014</v>
      </c>
      <c r="M42" s="14">
        <f t="shared" si="3"/>
        <v>0</v>
      </c>
      <c r="O42" s="55">
        <f t="shared" si="15"/>
        <v>0</v>
      </c>
      <c r="P42" s="55"/>
      <c r="Q42" s="55">
        <f t="shared" si="5"/>
        <v>0</v>
      </c>
      <c r="R42" s="55">
        <f t="shared" si="6"/>
        <v>0</v>
      </c>
      <c r="S42" s="55">
        <f t="shared" si="7"/>
        <v>0</v>
      </c>
      <c r="T42" s="55">
        <f t="shared" si="8"/>
        <v>0</v>
      </c>
      <c r="U42" s="55">
        <f t="shared" si="12"/>
        <v>2106447.29</v>
      </c>
      <c r="V42" s="55">
        <f t="shared" si="9"/>
        <v>0</v>
      </c>
      <c r="W42" s="55">
        <f t="shared" si="10"/>
        <v>0</v>
      </c>
      <c r="X42" s="14">
        <f>SUMPRODUCT((Annee_debut=$A42)*(emprunts!$C$2:$C$149=$C42),fraction_annee_absente)</f>
        <v>0</v>
      </c>
      <c r="Z42" s="14">
        <f t="shared" si="13"/>
        <v>2802725.6950000003</v>
      </c>
      <c r="AA42" s="12">
        <f t="shared" si="11"/>
        <v>9.0837184121937406E-2</v>
      </c>
    </row>
    <row r="43" spans="1:27">
      <c r="A43">
        <v>2003</v>
      </c>
      <c r="B43" s="1" t="s">
        <v>168</v>
      </c>
      <c r="C43" s="17" t="str">
        <f t="shared" si="0"/>
        <v>Auxifip CEPME</v>
      </c>
      <c r="D43" s="2">
        <v>5579633.9199999999</v>
      </c>
      <c r="E43" s="14">
        <v>2227999.54</v>
      </c>
      <c r="F43" s="14">
        <v>1342525.2</v>
      </c>
      <c r="G43" s="14">
        <v>222918.85</v>
      </c>
      <c r="H43" s="14">
        <v>1119606.3500000001</v>
      </c>
      <c r="I43" s="14">
        <f t="shared" si="16"/>
        <v>0</v>
      </c>
      <c r="J43" s="14">
        <v>0</v>
      </c>
      <c r="K43" s="12">
        <f t="shared" si="1"/>
        <v>6.24330781138909E-2</v>
      </c>
      <c r="L43" s="1" t="str">
        <f t="shared" si="2"/>
        <v>2003_0015</v>
      </c>
      <c r="M43" s="14">
        <f t="shared" si="3"/>
        <v>0</v>
      </c>
      <c r="O43" s="55">
        <f t="shared" si="15"/>
        <v>0</v>
      </c>
      <c r="P43" s="55"/>
      <c r="Q43" s="55">
        <f t="shared" si="5"/>
        <v>0</v>
      </c>
      <c r="R43" s="55">
        <f t="shared" si="6"/>
        <v>0</v>
      </c>
      <c r="S43" s="55">
        <f t="shared" si="7"/>
        <v>0</v>
      </c>
      <c r="T43" s="55">
        <f t="shared" si="8"/>
        <v>0</v>
      </c>
      <c r="U43" s="55">
        <f t="shared" si="12"/>
        <v>2227999.54</v>
      </c>
      <c r="V43" s="55">
        <f t="shared" si="9"/>
        <v>0</v>
      </c>
      <c r="W43" s="55">
        <f t="shared" si="10"/>
        <v>0</v>
      </c>
      <c r="X43" s="14">
        <f>SUMPRODUCT((Annee_debut=$A43)*(emprunts!$C$2:$C$149=$C43),fraction_annee_absente)</f>
        <v>0</v>
      </c>
      <c r="Z43" s="14">
        <f t="shared" si="13"/>
        <v>2787802.7149999999</v>
      </c>
      <c r="AA43" s="12">
        <f t="shared" si="11"/>
        <v>7.99622042121442E-2</v>
      </c>
    </row>
    <row r="44" spans="1:27">
      <c r="A44">
        <v>2003</v>
      </c>
      <c r="B44" s="1" t="s">
        <v>169</v>
      </c>
      <c r="C44" s="17" t="str">
        <f t="shared" si="0"/>
        <v>Natixis</v>
      </c>
      <c r="D44" s="2">
        <v>0</v>
      </c>
      <c r="E44" s="14">
        <v>0</v>
      </c>
      <c r="F44" s="14">
        <v>0</v>
      </c>
      <c r="G44" s="14">
        <v>0</v>
      </c>
      <c r="H44" s="14">
        <v>0</v>
      </c>
      <c r="I44" s="14">
        <f t="shared" si="16"/>
        <v>0</v>
      </c>
      <c r="J44" s="14">
        <v>0</v>
      </c>
      <c r="K44" s="12" t="str">
        <f t="shared" si="1"/>
        <v/>
      </c>
      <c r="L44" s="1" t="str">
        <f t="shared" si="2"/>
        <v>2003_0016</v>
      </c>
      <c r="M44" s="14" t="str">
        <f t="shared" si="3"/>
        <v/>
      </c>
      <c r="O44" s="55">
        <f t="shared" si="15"/>
        <v>0</v>
      </c>
      <c r="P44" s="55"/>
      <c r="Q44" s="55">
        <f t="shared" si="5"/>
        <v>0</v>
      </c>
      <c r="R44" s="55">
        <f t="shared" si="6"/>
        <v>0</v>
      </c>
      <c r="S44" s="55">
        <f t="shared" si="7"/>
        <v>0</v>
      </c>
      <c r="T44" s="55">
        <f t="shared" si="8"/>
        <v>0</v>
      </c>
      <c r="U44" s="55">
        <f t="shared" si="12"/>
        <v>0</v>
      </c>
      <c r="V44" s="55">
        <f t="shared" si="9"/>
        <v>0</v>
      </c>
      <c r="W44" s="55">
        <f t="shared" si="10"/>
        <v>0</v>
      </c>
      <c r="X44" s="14">
        <f>SUMPRODUCT((Annee_debut=$A44)*(emprunts!$C$2:$C$149=$C44),fraction_annee_absente)</f>
        <v>0</v>
      </c>
      <c r="Z44" s="14">
        <f t="shared" si="13"/>
        <v>0</v>
      </c>
      <c r="AA44" s="12" t="e">
        <f t="shared" si="11"/>
        <v>#DIV/0!</v>
      </c>
    </row>
    <row r="45" spans="1:27">
      <c r="A45">
        <v>2003</v>
      </c>
      <c r="B45" s="1" t="s">
        <v>171</v>
      </c>
      <c r="C45" s="17" t="str">
        <f t="shared" si="0"/>
        <v>Deutsche Hypothekenbank</v>
      </c>
      <c r="D45" s="2">
        <v>3811225.43</v>
      </c>
      <c r="E45" s="14">
        <v>2349139.5</v>
      </c>
      <c r="F45" s="14">
        <v>458949.6</v>
      </c>
      <c r="G45" s="14">
        <v>219988.66</v>
      </c>
      <c r="H45" s="14">
        <v>238960.94</v>
      </c>
      <c r="I45" s="14">
        <f t="shared" si="16"/>
        <v>0</v>
      </c>
      <c r="J45" s="14">
        <v>0</v>
      </c>
      <c r="K45" s="12">
        <f t="shared" si="1"/>
        <v>7.8341054064132082E-2</v>
      </c>
      <c r="L45" s="1" t="str">
        <f t="shared" si="2"/>
        <v>2003_0022</v>
      </c>
      <c r="M45" s="14">
        <f t="shared" si="3"/>
        <v>0</v>
      </c>
      <c r="O45" s="55">
        <f t="shared" si="15"/>
        <v>0</v>
      </c>
      <c r="P45" s="55"/>
      <c r="Q45" s="55">
        <f t="shared" si="5"/>
        <v>0</v>
      </c>
      <c r="R45" s="55">
        <f t="shared" si="6"/>
        <v>0</v>
      </c>
      <c r="S45" s="55">
        <f t="shared" si="7"/>
        <v>0</v>
      </c>
      <c r="T45" s="55">
        <f t="shared" si="8"/>
        <v>0</v>
      </c>
      <c r="U45" s="55">
        <f t="shared" si="12"/>
        <v>2349139.5</v>
      </c>
      <c r="V45" s="55">
        <f t="shared" si="9"/>
        <v>0</v>
      </c>
      <c r="W45" s="55">
        <f t="shared" si="10"/>
        <v>0</v>
      </c>
      <c r="X45" s="14">
        <f>SUMPRODUCT((Annee_debut=$A45)*(emprunts!$C$2:$C$149=$C45),fraction_annee_absente)</f>
        <v>0</v>
      </c>
      <c r="Z45" s="14">
        <f t="shared" si="13"/>
        <v>2468619.9700000002</v>
      </c>
      <c r="AA45" s="12">
        <f t="shared" si="11"/>
        <v>8.9114024302412165E-2</v>
      </c>
    </row>
    <row r="46" spans="1:27">
      <c r="A46">
        <v>2003</v>
      </c>
      <c r="B46" s="1" t="s">
        <v>173</v>
      </c>
      <c r="C46" s="17" t="str">
        <f t="shared" si="0"/>
        <v>Crédit Agricole</v>
      </c>
      <c r="D46" s="2">
        <v>13097112.84</v>
      </c>
      <c r="E46" s="14">
        <v>12418354.060000001</v>
      </c>
      <c r="F46" s="14">
        <v>1137157.73</v>
      </c>
      <c r="G46" s="14">
        <v>458398.95</v>
      </c>
      <c r="H46" s="14">
        <v>678758.78</v>
      </c>
      <c r="I46" s="14">
        <f t="shared" si="16"/>
        <v>0</v>
      </c>
      <c r="J46" s="14">
        <v>263908.39</v>
      </c>
      <c r="K46" s="12">
        <f t="shared" si="1"/>
        <v>3.3816425163538583E-2</v>
      </c>
      <c r="L46" s="1" t="str">
        <f t="shared" si="2"/>
        <v>2003_0023</v>
      </c>
      <c r="M46" s="14">
        <f t="shared" si="3"/>
        <v>0</v>
      </c>
      <c r="O46" s="55">
        <f t="shared" si="15"/>
        <v>12418354.060000001</v>
      </c>
      <c r="P46" s="55"/>
      <c r="Q46" s="55">
        <f t="shared" si="5"/>
        <v>458398.95</v>
      </c>
      <c r="R46" s="55">
        <f t="shared" si="6"/>
        <v>678758.78</v>
      </c>
      <c r="S46" s="55">
        <f t="shared" si="7"/>
        <v>0</v>
      </c>
      <c r="T46" s="55">
        <f t="shared" si="8"/>
        <v>263908.39</v>
      </c>
      <c r="U46" s="55">
        <f t="shared" si="12"/>
        <v>0</v>
      </c>
      <c r="V46" s="55">
        <f t="shared" si="9"/>
        <v>12418354.060000001</v>
      </c>
      <c r="W46" s="55">
        <f t="shared" si="10"/>
        <v>12722780.75561644</v>
      </c>
      <c r="X46" s="14">
        <f>SUMPRODUCT((Annee_debut=$A46)*(emprunts!$C$2:$C$149=$C46),fraction_annee_absente)</f>
        <v>0</v>
      </c>
      <c r="Z46" s="14">
        <f t="shared" si="13"/>
        <v>12722780.75561644</v>
      </c>
      <c r="AA46" s="12">
        <f t="shared" si="11"/>
        <v>3.6029776729245372E-2</v>
      </c>
    </row>
    <row r="47" spans="1:27">
      <c r="A47">
        <v>2003</v>
      </c>
      <c r="B47" s="1" t="s">
        <v>172</v>
      </c>
      <c r="C47" s="17" t="str">
        <f t="shared" si="0"/>
        <v>Rheinboden Hypothekenbank</v>
      </c>
      <c r="D47" s="2">
        <v>9684171.3699999992</v>
      </c>
      <c r="E47" s="14">
        <v>5510117.2800000003</v>
      </c>
      <c r="F47" s="14">
        <v>991066.05</v>
      </c>
      <c r="G47" s="14">
        <v>345444.46</v>
      </c>
      <c r="H47" s="14">
        <v>645621.59</v>
      </c>
      <c r="I47" s="14">
        <f t="shared" si="16"/>
        <v>0</v>
      </c>
      <c r="J47" s="14">
        <v>97583.06</v>
      </c>
      <c r="K47" s="12">
        <f t="shared" si="1"/>
        <v>5.3135628156482095E-2</v>
      </c>
      <c r="L47" s="1" t="str">
        <f t="shared" si="2"/>
        <v>2003_0025</v>
      </c>
      <c r="M47" s="14">
        <f t="shared" si="3"/>
        <v>0</v>
      </c>
      <c r="O47" s="55">
        <f t="shared" si="15"/>
        <v>0</v>
      </c>
      <c r="P47" s="55"/>
      <c r="Q47" s="55">
        <f t="shared" si="5"/>
        <v>0</v>
      </c>
      <c r="R47" s="55">
        <f t="shared" si="6"/>
        <v>0</v>
      </c>
      <c r="S47" s="55">
        <f t="shared" si="7"/>
        <v>0</v>
      </c>
      <c r="T47" s="55">
        <f t="shared" si="8"/>
        <v>0</v>
      </c>
      <c r="U47" s="55">
        <f t="shared" si="12"/>
        <v>5510117.2800000003</v>
      </c>
      <c r="V47" s="55">
        <f t="shared" si="9"/>
        <v>0</v>
      </c>
      <c r="W47" s="55">
        <f t="shared" si="10"/>
        <v>0</v>
      </c>
      <c r="X47" s="14">
        <f>SUMPRODUCT((Annee_debut=$A47)*(emprunts!$C$2:$C$149=$C47),fraction_annee_absente)</f>
        <v>0</v>
      </c>
      <c r="Z47" s="14">
        <f t="shared" si="13"/>
        <v>5832928.0750000002</v>
      </c>
      <c r="AA47" s="12">
        <f t="shared" si="11"/>
        <v>5.9223164688174214E-2</v>
      </c>
    </row>
    <row r="48" spans="1:27">
      <c r="A48">
        <v>2004</v>
      </c>
      <c r="B48" s="1" t="s">
        <v>162</v>
      </c>
      <c r="C48" s="17" t="str">
        <f t="shared" ref="C48:C58" si="17">VLOOKUP(B48,preteurs,2,FALSE)</f>
        <v>CDC</v>
      </c>
      <c r="D48" s="2">
        <v>58983206.409999996</v>
      </c>
      <c r="E48" s="14">
        <v>40876242.640000001</v>
      </c>
      <c r="F48" s="14">
        <v>5933911.5</v>
      </c>
      <c r="G48" s="14">
        <v>2083937.94</v>
      </c>
      <c r="H48" s="14">
        <v>3849973.56</v>
      </c>
      <c r="I48" s="14">
        <f t="shared" si="16"/>
        <v>0</v>
      </c>
      <c r="J48" s="14">
        <v>775362.82</v>
      </c>
      <c r="K48" s="12">
        <f t="shared" si="1"/>
        <v>4.4518929242731181E-2</v>
      </c>
      <c r="L48" s="1" t="str">
        <f t="shared" si="2"/>
        <v>2004_0001</v>
      </c>
      <c r="M48" s="14">
        <f t="shared" si="3"/>
        <v>892345.37000000477</v>
      </c>
      <c r="O48" s="55">
        <f t="shared" si="15"/>
        <v>13738590</v>
      </c>
      <c r="P48" s="55"/>
      <c r="Q48" s="55">
        <f t="shared" si="5"/>
        <v>583328.68000000005</v>
      </c>
      <c r="R48" s="55">
        <f t="shared" si="6"/>
        <v>1248687.19</v>
      </c>
      <c r="S48" s="55">
        <f t="shared" si="7"/>
        <v>0</v>
      </c>
      <c r="T48" s="55">
        <f t="shared" si="8"/>
        <v>390390.51</v>
      </c>
      <c r="U48" s="55">
        <f t="shared" si="12"/>
        <v>27137652.640000001</v>
      </c>
      <c r="V48" s="55">
        <f t="shared" si="9"/>
        <v>13738590</v>
      </c>
      <c r="W48" s="55">
        <f t="shared" si="10"/>
        <v>12692713.56719178</v>
      </c>
      <c r="X48" s="14">
        <f>SUMPRODUCT((Annee_debut=$A48)*(emprunts!$C$2:$C$149=$C48),fraction_annee_absente)</f>
        <v>0</v>
      </c>
      <c r="Z48" s="14">
        <f t="shared" si="13"/>
        <v>41131009.392191783</v>
      </c>
      <c r="AA48" s="12">
        <f t="shared" si="11"/>
        <v>5.0665859428084201E-2</v>
      </c>
    </row>
    <row r="49" spans="1:27">
      <c r="A49">
        <v>2004</v>
      </c>
      <c r="B49" s="1" t="s">
        <v>163</v>
      </c>
      <c r="C49" s="17" t="str">
        <f t="shared" si="17"/>
        <v>Dexia CL</v>
      </c>
      <c r="D49" s="2">
        <v>151304494.12</v>
      </c>
      <c r="E49" s="14">
        <v>102399964.91</v>
      </c>
      <c r="F49" s="14">
        <v>6684306.3300000001</v>
      </c>
      <c r="G49" s="14">
        <v>3269269.59</v>
      </c>
      <c r="H49" s="14">
        <v>3415036.74</v>
      </c>
      <c r="I49" s="14">
        <f t="shared" si="16"/>
        <v>0</v>
      </c>
      <c r="J49" s="14">
        <v>2194255.46</v>
      </c>
      <c r="K49" s="12">
        <f t="shared" si="1"/>
        <v>2.9970128166389536E-2</v>
      </c>
      <c r="L49" s="1" t="str">
        <f t="shared" si="2"/>
        <v>2004_0002</v>
      </c>
      <c r="M49" s="14">
        <f t="shared" si="3"/>
        <v>25074689.480000004</v>
      </c>
      <c r="O49" s="55">
        <f t="shared" si="15"/>
        <v>102277381</v>
      </c>
      <c r="P49" s="55"/>
      <c r="Q49" s="55">
        <f t="shared" si="5"/>
        <v>3062589.41</v>
      </c>
      <c r="R49" s="55">
        <f t="shared" si="6"/>
        <v>3124378.5200000005</v>
      </c>
      <c r="S49" s="55">
        <f t="shared" si="7"/>
        <v>0</v>
      </c>
      <c r="T49" s="55">
        <f t="shared" si="8"/>
        <v>2194255.46</v>
      </c>
      <c r="U49" s="55">
        <f t="shared" si="12"/>
        <v>122583.90999999642</v>
      </c>
      <c r="V49" s="55">
        <f t="shared" si="9"/>
        <v>102277381</v>
      </c>
      <c r="W49" s="55">
        <f t="shared" si="10"/>
        <v>97029382.811506838</v>
      </c>
      <c r="X49" s="14">
        <f>SUMPRODUCT((Annee_debut=$A49)*(emprunts!$C$2:$C$149=$C49),fraction_annee_absente)</f>
        <v>7149073.9726027399</v>
      </c>
      <c r="Z49" s="14">
        <f t="shared" si="13"/>
        <v>97297295.831506833</v>
      </c>
      <c r="AA49" s="12">
        <f t="shared" si="11"/>
        <v>3.3600826847865431E-2</v>
      </c>
    </row>
    <row r="50" spans="1:27">
      <c r="A50">
        <v>2004</v>
      </c>
      <c r="B50" s="1" t="s">
        <v>164</v>
      </c>
      <c r="C50" s="17" t="str">
        <f t="shared" si="17"/>
        <v>Caisse d'Épargne</v>
      </c>
      <c r="D50" s="2">
        <v>24319258.800000001</v>
      </c>
      <c r="E50" s="14">
        <v>17561527.699999999</v>
      </c>
      <c r="F50" s="14">
        <v>2337136.29</v>
      </c>
      <c r="G50" s="14">
        <v>667817.37</v>
      </c>
      <c r="H50" s="14">
        <v>1669318.92</v>
      </c>
      <c r="I50" s="14">
        <f t="shared" si="16"/>
        <v>0</v>
      </c>
      <c r="J50" s="14">
        <v>355218.05</v>
      </c>
      <c r="K50" s="12">
        <f t="shared" si="1"/>
        <v>3.3560914960703354E-2</v>
      </c>
      <c r="L50" s="1" t="str">
        <f t="shared" si="2"/>
        <v>2004_0003</v>
      </c>
      <c r="M50" s="14">
        <f t="shared" si="3"/>
        <v>0</v>
      </c>
      <c r="O50" s="55">
        <f t="shared" si="15"/>
        <v>17004566.98</v>
      </c>
      <c r="P50" s="55"/>
      <c r="Q50" s="55">
        <f t="shared" si="5"/>
        <v>604316.52</v>
      </c>
      <c r="R50" s="55">
        <f t="shared" si="6"/>
        <v>903661.41</v>
      </c>
      <c r="S50" s="55">
        <f t="shared" si="7"/>
        <v>0</v>
      </c>
      <c r="T50" s="55">
        <f t="shared" si="8"/>
        <v>343258.95999999996</v>
      </c>
      <c r="U50" s="55">
        <f t="shared" si="12"/>
        <v>556960.71999999881</v>
      </c>
      <c r="V50" s="55">
        <f t="shared" si="9"/>
        <v>17004566.98</v>
      </c>
      <c r="W50" s="55">
        <f t="shared" si="10"/>
        <v>17068647.127054796</v>
      </c>
      <c r="X50" s="14">
        <f>SUMPRODUCT((Annee_debut=$A50)*(emprunts!$C$2:$C$149=$C50),fraction_annee_absente)</f>
        <v>414630.13698630134</v>
      </c>
      <c r="Z50" s="14">
        <f t="shared" si="13"/>
        <v>18008436.602054793</v>
      </c>
      <c r="AA50" s="12">
        <f t="shared" si="11"/>
        <v>3.7083583919983419E-2</v>
      </c>
    </row>
    <row r="51" spans="1:27">
      <c r="A51">
        <v>2004</v>
      </c>
      <c r="B51" s="1" t="s">
        <v>165</v>
      </c>
      <c r="C51" s="17" t="str">
        <f t="shared" si="17"/>
        <v>Crédit Mutuel</v>
      </c>
      <c r="D51" s="2">
        <v>6479083.2300000004</v>
      </c>
      <c r="E51" s="14">
        <v>1847764.35</v>
      </c>
      <c r="F51" s="14">
        <v>3464976.47</v>
      </c>
      <c r="G51" s="14">
        <v>212634.61</v>
      </c>
      <c r="H51" s="14">
        <v>3252341.86</v>
      </c>
      <c r="I51" s="14">
        <f t="shared" si="16"/>
        <v>0</v>
      </c>
      <c r="J51" s="14">
        <v>29605.88</v>
      </c>
      <c r="K51" s="12">
        <f t="shared" si="1"/>
        <v>4.0023524053635268E-2</v>
      </c>
      <c r="L51" s="1" t="str">
        <f t="shared" si="2"/>
        <v>2004_0004</v>
      </c>
      <c r="M51" s="14">
        <f t="shared" si="3"/>
        <v>1808556.04</v>
      </c>
      <c r="O51" s="55">
        <f t="shared" si="15"/>
        <v>1847765</v>
      </c>
      <c r="P51" s="55"/>
      <c r="Q51" s="55">
        <f t="shared" si="5"/>
        <v>106839.48000000001</v>
      </c>
      <c r="R51" s="55">
        <f t="shared" si="6"/>
        <v>141285.53</v>
      </c>
      <c r="S51" s="55">
        <f t="shared" si="7"/>
        <v>0</v>
      </c>
      <c r="T51" s="55">
        <f t="shared" si="8"/>
        <v>29605.879999999997</v>
      </c>
      <c r="U51" s="55">
        <f t="shared" si="12"/>
        <v>-0.64999999990686774</v>
      </c>
      <c r="V51" s="55">
        <f t="shared" si="9"/>
        <v>1847765</v>
      </c>
      <c r="W51" s="55">
        <f t="shared" si="10"/>
        <v>1918407.7650000001</v>
      </c>
      <c r="X51" s="14">
        <f>SUMPRODUCT((Annee_debut=$A51)*(emprunts!$C$2:$C$149=$C51),fraction_annee_absente)</f>
        <v>0</v>
      </c>
      <c r="Z51" s="14">
        <f t="shared" si="13"/>
        <v>3473935.2800000003</v>
      </c>
      <c r="AA51" s="12">
        <f t="shared" si="11"/>
        <v>6.1208569780839432E-2</v>
      </c>
    </row>
    <row r="52" spans="1:27">
      <c r="A52">
        <v>2004</v>
      </c>
      <c r="B52" s="1" t="s">
        <v>166</v>
      </c>
      <c r="C52" s="17" t="str">
        <f t="shared" si="17"/>
        <v>Société générale</v>
      </c>
      <c r="D52" s="2">
        <v>3087022.31</v>
      </c>
      <c r="E52" s="14">
        <v>1486709.58</v>
      </c>
      <c r="F52" s="14">
        <v>559694.9</v>
      </c>
      <c r="G52" s="14">
        <v>122006.81</v>
      </c>
      <c r="H52" s="14">
        <v>437688.09</v>
      </c>
      <c r="I52" s="14">
        <f t="shared" si="16"/>
        <v>0</v>
      </c>
      <c r="J52" s="14">
        <v>54230.28</v>
      </c>
      <c r="K52" s="12">
        <f t="shared" si="1"/>
        <v>5.9620085468147531E-2</v>
      </c>
      <c r="L52" s="1" t="str">
        <f t="shared" si="2"/>
        <v>2004_0005</v>
      </c>
      <c r="M52" s="14">
        <f t="shared" si="3"/>
        <v>0</v>
      </c>
      <c r="O52" s="55">
        <f t="shared" si="15"/>
        <v>0</v>
      </c>
      <c r="P52" s="55"/>
      <c r="Q52" s="55">
        <f t="shared" si="5"/>
        <v>0</v>
      </c>
      <c r="R52" s="55">
        <f t="shared" si="6"/>
        <v>0</v>
      </c>
      <c r="S52" s="55">
        <f t="shared" si="7"/>
        <v>0</v>
      </c>
      <c r="T52" s="55">
        <f t="shared" si="8"/>
        <v>0</v>
      </c>
      <c r="U52" s="55">
        <f t="shared" si="12"/>
        <v>1486709.58</v>
      </c>
      <c r="V52" s="55">
        <f t="shared" si="9"/>
        <v>0</v>
      </c>
      <c r="W52" s="55">
        <f t="shared" si="10"/>
        <v>0</v>
      </c>
      <c r="X52" s="14">
        <f>SUMPRODUCT((Annee_debut=$A52)*(emprunts!$C$2:$C$149=$C52),fraction_annee_absente)</f>
        <v>0</v>
      </c>
      <c r="Z52" s="14">
        <f t="shared" si="13"/>
        <v>1705553.625</v>
      </c>
      <c r="AA52" s="12">
        <f t="shared" si="11"/>
        <v>7.1535018431331934E-2</v>
      </c>
    </row>
    <row r="53" spans="1:27">
      <c r="A53">
        <v>2004</v>
      </c>
      <c r="B53" s="1" t="s">
        <v>167</v>
      </c>
      <c r="C53" s="17" t="str">
        <f t="shared" si="17"/>
        <v>Crédit Foncier</v>
      </c>
      <c r="D53" s="2">
        <v>3749331.13</v>
      </c>
      <c r="E53" s="14">
        <v>1304505.8999999999</v>
      </c>
      <c r="F53" s="14">
        <v>933025.29</v>
      </c>
      <c r="G53" s="14">
        <v>131083.9</v>
      </c>
      <c r="H53" s="14">
        <v>801941.39</v>
      </c>
      <c r="I53" s="14">
        <f t="shared" si="16"/>
        <v>0</v>
      </c>
      <c r="J53" s="14">
        <v>0</v>
      </c>
      <c r="K53" s="12">
        <f t="shared" si="1"/>
        <v>5.8584166596578259E-2</v>
      </c>
      <c r="L53" s="1" t="str">
        <f t="shared" si="2"/>
        <v>2004_0014</v>
      </c>
      <c r="M53" s="14">
        <f t="shared" si="3"/>
        <v>0</v>
      </c>
      <c r="O53" s="55">
        <f t="shared" si="15"/>
        <v>0</v>
      </c>
      <c r="P53" s="55"/>
      <c r="Q53" s="55">
        <f t="shared" si="5"/>
        <v>0</v>
      </c>
      <c r="R53" s="55">
        <f t="shared" si="6"/>
        <v>0</v>
      </c>
      <c r="S53" s="55">
        <f t="shared" si="7"/>
        <v>0</v>
      </c>
      <c r="T53" s="55">
        <f t="shared" si="8"/>
        <v>0</v>
      </c>
      <c r="U53" s="55">
        <f t="shared" si="12"/>
        <v>1304505.8999999999</v>
      </c>
      <c r="V53" s="55">
        <f t="shared" si="9"/>
        <v>0</v>
      </c>
      <c r="W53" s="55">
        <f t="shared" si="10"/>
        <v>0</v>
      </c>
      <c r="X53" s="14">
        <f>SUMPRODUCT((Annee_debut=$A53)*(emprunts!$C$2:$C$149=$C53),fraction_annee_absente)</f>
        <v>0</v>
      </c>
      <c r="Z53" s="14">
        <f t="shared" si="13"/>
        <v>1705476.595</v>
      </c>
      <c r="AA53" s="12">
        <f t="shared" si="11"/>
        <v>7.6860568115858549E-2</v>
      </c>
    </row>
    <row r="54" spans="1:27">
      <c r="A54">
        <v>2004</v>
      </c>
      <c r="B54" s="1" t="s">
        <v>168</v>
      </c>
      <c r="C54" s="17" t="str">
        <f t="shared" si="17"/>
        <v>Auxifip CEPME</v>
      </c>
      <c r="D54" s="2">
        <v>4329552.08</v>
      </c>
      <c r="E54" s="14">
        <v>1861019.35</v>
      </c>
      <c r="F54" s="14">
        <v>531340.12</v>
      </c>
      <c r="G54" s="14">
        <v>164359.93</v>
      </c>
      <c r="H54" s="14">
        <v>366980.19</v>
      </c>
      <c r="I54" s="14">
        <f t="shared" si="16"/>
        <v>0</v>
      </c>
      <c r="J54" s="14">
        <v>0</v>
      </c>
      <c r="K54" s="12">
        <f t="shared" si="1"/>
        <v>6.8702020771151076E-2</v>
      </c>
      <c r="L54" s="1" t="str">
        <f t="shared" si="2"/>
        <v>2004_0015</v>
      </c>
      <c r="M54" s="14">
        <f t="shared" si="3"/>
        <v>0</v>
      </c>
      <c r="O54" s="55">
        <f t="shared" si="15"/>
        <v>0</v>
      </c>
      <c r="P54" s="55"/>
      <c r="Q54" s="55">
        <f t="shared" si="5"/>
        <v>0</v>
      </c>
      <c r="R54" s="55">
        <f t="shared" si="6"/>
        <v>0</v>
      </c>
      <c r="S54" s="55">
        <f t="shared" si="7"/>
        <v>0</v>
      </c>
      <c r="T54" s="55">
        <f t="shared" si="8"/>
        <v>0</v>
      </c>
      <c r="U54" s="55">
        <f t="shared" si="12"/>
        <v>1861019.35</v>
      </c>
      <c r="V54" s="55">
        <f t="shared" si="9"/>
        <v>0</v>
      </c>
      <c r="W54" s="55">
        <f t="shared" si="10"/>
        <v>0</v>
      </c>
      <c r="X54" s="14">
        <f>SUMPRODUCT((Annee_debut=$A54)*(emprunts!$C$2:$C$149=$C54),fraction_annee_absente)</f>
        <v>0</v>
      </c>
      <c r="Z54" s="14">
        <f t="shared" si="13"/>
        <v>2044509.4450000001</v>
      </c>
      <c r="AA54" s="12">
        <f t="shared" si="11"/>
        <v>8.0390888093940793E-2</v>
      </c>
    </row>
    <row r="55" spans="1:27">
      <c r="A55">
        <v>2004</v>
      </c>
      <c r="B55" s="1" t="s">
        <v>169</v>
      </c>
      <c r="C55" s="17" t="str">
        <f t="shared" si="17"/>
        <v>Natixis</v>
      </c>
      <c r="D55" s="2">
        <v>0</v>
      </c>
      <c r="E55" s="14">
        <v>0</v>
      </c>
      <c r="F55" s="14">
        <v>0</v>
      </c>
      <c r="G55" s="14">
        <v>0</v>
      </c>
      <c r="H55" s="14">
        <v>0</v>
      </c>
      <c r="I55" s="14">
        <f t="shared" si="16"/>
        <v>0</v>
      </c>
      <c r="J55" s="14">
        <v>0</v>
      </c>
      <c r="K55" s="12" t="str">
        <f t="shared" si="1"/>
        <v/>
      </c>
      <c r="L55" s="1" t="str">
        <f t="shared" si="2"/>
        <v>2004_0016</v>
      </c>
      <c r="M55" s="14" t="str">
        <f t="shared" si="3"/>
        <v/>
      </c>
      <c r="O55" s="55">
        <f t="shared" si="15"/>
        <v>0</v>
      </c>
      <c r="P55" s="55"/>
      <c r="Q55" s="55">
        <f t="shared" si="5"/>
        <v>0</v>
      </c>
      <c r="R55" s="55">
        <f t="shared" si="6"/>
        <v>0</v>
      </c>
      <c r="S55" s="55">
        <f t="shared" si="7"/>
        <v>0</v>
      </c>
      <c r="T55" s="55">
        <f t="shared" si="8"/>
        <v>0</v>
      </c>
      <c r="U55" s="55">
        <f t="shared" si="12"/>
        <v>0</v>
      </c>
      <c r="V55" s="55">
        <f t="shared" si="9"/>
        <v>0</v>
      </c>
      <c r="W55" s="55">
        <f t="shared" si="10"/>
        <v>0</v>
      </c>
      <c r="X55" s="14">
        <f>SUMPRODUCT((Annee_debut=$A55)*(emprunts!$C$2:$C$149=$C55),fraction_annee_absente)</f>
        <v>0</v>
      </c>
      <c r="Z55" s="14">
        <f t="shared" si="13"/>
        <v>0</v>
      </c>
      <c r="AA55" s="12" t="e">
        <f t="shared" si="11"/>
        <v>#DIV/0!</v>
      </c>
    </row>
    <row r="56" spans="1:27">
      <c r="A56">
        <v>2004</v>
      </c>
      <c r="B56" s="1" t="s">
        <v>171</v>
      </c>
      <c r="C56" s="17" t="str">
        <f t="shared" si="17"/>
        <v>Deutsche Hypothekenbank</v>
      </c>
      <c r="D56" s="2">
        <v>3811225.43</v>
      </c>
      <c r="E56" s="14">
        <v>2089866.86</v>
      </c>
      <c r="F56" s="14">
        <v>458949.6</v>
      </c>
      <c r="G56" s="14">
        <v>199676.96</v>
      </c>
      <c r="H56" s="14">
        <v>259272.64</v>
      </c>
      <c r="I56" s="14">
        <f t="shared" si="16"/>
        <v>0</v>
      </c>
      <c r="J56" s="14">
        <v>0</v>
      </c>
      <c r="K56" s="12">
        <f t="shared" si="1"/>
        <v>7.834105088916446E-2</v>
      </c>
      <c r="L56" s="1" t="str">
        <f t="shared" si="2"/>
        <v>2004_0022</v>
      </c>
      <c r="M56" s="14">
        <f t="shared" si="3"/>
        <v>0</v>
      </c>
      <c r="O56" s="55">
        <f t="shared" si="15"/>
        <v>0</v>
      </c>
      <c r="P56" s="55"/>
      <c r="Q56" s="55">
        <f t="shared" si="5"/>
        <v>0</v>
      </c>
      <c r="R56" s="55">
        <f t="shared" si="6"/>
        <v>0</v>
      </c>
      <c r="S56" s="55">
        <f t="shared" si="7"/>
        <v>0</v>
      </c>
      <c r="T56" s="55">
        <f t="shared" si="8"/>
        <v>0</v>
      </c>
      <c r="U56" s="55">
        <f t="shared" si="12"/>
        <v>2089866.86</v>
      </c>
      <c r="V56" s="55">
        <f t="shared" si="9"/>
        <v>0</v>
      </c>
      <c r="W56" s="55">
        <f t="shared" si="10"/>
        <v>0</v>
      </c>
      <c r="X56" s="14">
        <f>SUMPRODUCT((Annee_debut=$A56)*(emprunts!$C$2:$C$149=$C56),fraction_annee_absente)</f>
        <v>0</v>
      </c>
      <c r="Z56" s="14">
        <f t="shared" si="13"/>
        <v>2219503.1800000002</v>
      </c>
      <c r="AA56" s="12">
        <f t="shared" si="11"/>
        <v>8.996471003028704E-2</v>
      </c>
    </row>
    <row r="57" spans="1:27">
      <c r="A57">
        <v>2004</v>
      </c>
      <c r="B57" s="1" t="s">
        <v>173</v>
      </c>
      <c r="C57" s="17" t="str">
        <f t="shared" si="17"/>
        <v>Crédit Agricole</v>
      </c>
      <c r="D57" s="2">
        <v>13097112.84</v>
      </c>
      <c r="E57" s="14">
        <v>11715838.720000001</v>
      </c>
      <c r="F57" s="14">
        <v>1137157.73</v>
      </c>
      <c r="G57" s="14">
        <v>434642.39</v>
      </c>
      <c r="H57" s="14">
        <v>702515.34</v>
      </c>
      <c r="I57" s="14">
        <f t="shared" si="16"/>
        <v>0</v>
      </c>
      <c r="J57" s="14">
        <v>292093.52</v>
      </c>
      <c r="K57" s="12">
        <f t="shared" si="1"/>
        <v>3.3816424962912053E-2</v>
      </c>
      <c r="L57" s="1" t="str">
        <f t="shared" si="2"/>
        <v>2004_0023</v>
      </c>
      <c r="M57" s="14">
        <f t="shared" si="3"/>
        <v>0</v>
      </c>
      <c r="O57" s="55">
        <f t="shared" si="15"/>
        <v>11715839</v>
      </c>
      <c r="P57" s="55"/>
      <c r="Q57" s="55">
        <f t="shared" si="5"/>
        <v>434642.39</v>
      </c>
      <c r="R57" s="55">
        <f t="shared" si="6"/>
        <v>702515.34</v>
      </c>
      <c r="S57" s="55">
        <f t="shared" si="7"/>
        <v>0</v>
      </c>
      <c r="T57" s="55">
        <f t="shared" si="8"/>
        <v>292093.52</v>
      </c>
      <c r="U57" s="55">
        <f t="shared" si="12"/>
        <v>-0.27999999932944775</v>
      </c>
      <c r="V57" s="55">
        <f t="shared" si="9"/>
        <v>11715839</v>
      </c>
      <c r="W57" s="55">
        <f t="shared" si="10"/>
        <v>12067096.67</v>
      </c>
      <c r="X57" s="14">
        <f>SUMPRODUCT((Annee_debut=$A57)*(emprunts!$C$2:$C$149=$C57),fraction_annee_absente)</f>
        <v>0</v>
      </c>
      <c r="Z57" s="14">
        <f t="shared" si="13"/>
        <v>12067096.390000001</v>
      </c>
      <c r="AA57" s="12">
        <f t="shared" si="11"/>
        <v>3.6018804851860473E-2</v>
      </c>
    </row>
    <row r="58" spans="1:27">
      <c r="A58">
        <v>2004</v>
      </c>
      <c r="B58" s="1" t="s">
        <v>172</v>
      </c>
      <c r="C58" s="17" t="str">
        <f t="shared" si="17"/>
        <v>Rheinboden Hypothekenbank</v>
      </c>
      <c r="D58" s="2">
        <v>9684171.3699999992</v>
      </c>
      <c r="E58" s="14">
        <v>796546.12</v>
      </c>
      <c r="F58" s="14">
        <v>4910233.57</v>
      </c>
      <c r="G58" s="14">
        <v>196662.41</v>
      </c>
      <c r="H58" s="14">
        <v>4713571.16</v>
      </c>
      <c r="I58" s="14">
        <f t="shared" si="16"/>
        <v>0</v>
      </c>
      <c r="J58" s="14">
        <v>0</v>
      </c>
      <c r="K58" s="12">
        <f t="shared" si="1"/>
        <v>3.4461188390470354E-2</v>
      </c>
      <c r="L58" s="1" t="str">
        <f t="shared" si="2"/>
        <v>2004_0025</v>
      </c>
      <c r="M58" s="14">
        <f t="shared" si="3"/>
        <v>0</v>
      </c>
      <c r="O58" s="55">
        <f t="shared" si="15"/>
        <v>0</v>
      </c>
      <c r="P58" s="55"/>
      <c r="Q58" s="55">
        <f t="shared" si="5"/>
        <v>0</v>
      </c>
      <c r="R58" s="55">
        <f t="shared" si="6"/>
        <v>0</v>
      </c>
      <c r="S58" s="55">
        <f t="shared" si="7"/>
        <v>0</v>
      </c>
      <c r="T58" s="55">
        <f t="shared" si="8"/>
        <v>0</v>
      </c>
      <c r="U58" s="55">
        <f t="shared" si="12"/>
        <v>796546.12</v>
      </c>
      <c r="V58" s="55">
        <f t="shared" si="9"/>
        <v>0</v>
      </c>
      <c r="W58" s="55">
        <f t="shared" si="10"/>
        <v>0</v>
      </c>
      <c r="X58" s="14">
        <f>SUMPRODUCT((Annee_debut=$A58)*(emprunts!$C$2:$C$149=$C58),fraction_annee_absente)</f>
        <v>0</v>
      </c>
      <c r="Z58" s="14">
        <f t="shared" si="13"/>
        <v>3153331.7</v>
      </c>
      <c r="AA58" s="12">
        <f t="shared" si="11"/>
        <v>6.2366547103179786E-2</v>
      </c>
    </row>
    <row r="59" spans="1:27">
      <c r="A59">
        <v>2005</v>
      </c>
      <c r="B59" s="1" t="s">
        <v>162</v>
      </c>
      <c r="C59" s="17" t="str">
        <f t="shared" ref="C59:C69" si="18">VLOOKUP(B59,preteurs,2,FALSE)</f>
        <v>CDC</v>
      </c>
      <c r="D59" s="2">
        <v>63268093.43</v>
      </c>
      <c r="E59" s="14">
        <v>20021797.510000002</v>
      </c>
      <c r="F59" s="14">
        <v>23530901.079999998</v>
      </c>
      <c r="G59" s="14">
        <v>1784110.58</v>
      </c>
      <c r="H59" s="14">
        <v>21746790.5</v>
      </c>
      <c r="I59" s="14">
        <f t="shared" si="16"/>
        <v>0</v>
      </c>
      <c r="J59" s="14">
        <v>429798.14</v>
      </c>
      <c r="K59" s="12">
        <f t="shared" si="1"/>
        <v>4.0964409502965773E-2</v>
      </c>
      <c r="L59" s="1" t="str">
        <f t="shared" si="2"/>
        <v>2005_0001</v>
      </c>
      <c r="M59" s="14">
        <f t="shared" si="3"/>
        <v>-3.7252902984619141E-9</v>
      </c>
      <c r="O59" s="55">
        <f t="shared" si="15"/>
        <v>11695066</v>
      </c>
      <c r="P59" s="55"/>
      <c r="Q59" s="55">
        <f t="shared" si="5"/>
        <v>466547.74</v>
      </c>
      <c r="R59" s="55">
        <f t="shared" si="6"/>
        <v>8479673.4699999988</v>
      </c>
      <c r="S59" s="55">
        <f t="shared" si="7"/>
        <v>0</v>
      </c>
      <c r="T59" s="55">
        <f t="shared" si="8"/>
        <v>253681.6</v>
      </c>
      <c r="U59" s="55">
        <f t="shared" si="12"/>
        <v>8326731.5100000016</v>
      </c>
      <c r="V59" s="55">
        <f t="shared" si="9"/>
        <v>11695066</v>
      </c>
      <c r="W59" s="55">
        <f t="shared" si="10"/>
        <v>13208586.270958904</v>
      </c>
      <c r="X59" s="14">
        <f>SUMPRODUCT((Annee_debut=$A59)*(emprunts!$C$2:$C$149=$C59),fraction_annee_absente)</f>
        <v>1949260.2739726026</v>
      </c>
      <c r="Z59" s="14">
        <f t="shared" si="13"/>
        <v>28168876.295958906</v>
      </c>
      <c r="AA59" s="12">
        <f t="shared" si="11"/>
        <v>6.3336235398781165E-2</v>
      </c>
    </row>
    <row r="60" spans="1:27">
      <c r="A60">
        <v>2005</v>
      </c>
      <c r="B60" s="1" t="s">
        <v>163</v>
      </c>
      <c r="C60" s="17" t="str">
        <f t="shared" si="18"/>
        <v>Dexia CL</v>
      </c>
      <c r="D60" s="2">
        <v>175371906.18000001</v>
      </c>
      <c r="E60" s="14">
        <v>123813787.70999999</v>
      </c>
      <c r="F60" s="14">
        <v>7712753.7400000002</v>
      </c>
      <c r="G60" s="14">
        <v>4051887.06</v>
      </c>
      <c r="H60" s="14">
        <v>3660866.68</v>
      </c>
      <c r="I60" s="14">
        <f t="shared" si="16"/>
        <v>0</v>
      </c>
      <c r="J60" s="14">
        <v>2263208.0099999998</v>
      </c>
      <c r="K60" s="12">
        <f t="shared" si="1"/>
        <v>3.0806611466631859E-2</v>
      </c>
      <c r="L60" s="1" t="str">
        <f t="shared" si="2"/>
        <v>2005_0002</v>
      </c>
      <c r="M60" s="14">
        <f t="shared" si="3"/>
        <v>20221279.980000004</v>
      </c>
      <c r="O60" s="55">
        <f t="shared" si="15"/>
        <v>123813785</v>
      </c>
      <c r="P60" s="55"/>
      <c r="Q60" s="55">
        <f t="shared" si="5"/>
        <v>4044326.9999999995</v>
      </c>
      <c r="R60" s="55">
        <f t="shared" si="6"/>
        <v>3538279.97</v>
      </c>
      <c r="S60" s="55">
        <f t="shared" si="7"/>
        <v>0</v>
      </c>
      <c r="T60" s="55">
        <f t="shared" si="8"/>
        <v>2259217.0099999998</v>
      </c>
      <c r="U60" s="55">
        <f t="shared" si="12"/>
        <v>2.7099999934434891</v>
      </c>
      <c r="V60" s="55">
        <f t="shared" si="9"/>
        <v>123813785</v>
      </c>
      <c r="W60" s="55">
        <f t="shared" si="10"/>
        <v>118613472.42613699</v>
      </c>
      <c r="X60" s="14">
        <f>SUMPRODUCT((Annee_debut=$A60)*(emprunts!$C$2:$C$149=$C60),fraction_annee_absente)</f>
        <v>17467489.15068493</v>
      </c>
      <c r="Z60" s="14">
        <f t="shared" si="13"/>
        <v>118674768.49113698</v>
      </c>
      <c r="AA60" s="12">
        <f t="shared" si="11"/>
        <v>3.4142784616450365E-2</v>
      </c>
    </row>
    <row r="61" spans="1:27">
      <c r="A61">
        <v>2005</v>
      </c>
      <c r="B61" s="1" t="s">
        <v>164</v>
      </c>
      <c r="C61" s="17" t="str">
        <f t="shared" si="18"/>
        <v>Caisse d'Épargne</v>
      </c>
      <c r="D61" s="2">
        <v>21270278.449999999</v>
      </c>
      <c r="E61" s="14">
        <v>15704892.970000001</v>
      </c>
      <c r="F61" s="14">
        <v>2364917.46</v>
      </c>
      <c r="G61" s="14">
        <v>508282.73</v>
      </c>
      <c r="H61" s="14">
        <v>1856634.73</v>
      </c>
      <c r="I61" s="14">
        <f t="shared" si="16"/>
        <v>0</v>
      </c>
      <c r="J61" s="14">
        <v>205376.1</v>
      </c>
      <c r="K61" s="12">
        <f t="shared" si="1"/>
        <v>2.8128835771078976E-2</v>
      </c>
      <c r="L61" s="1" t="str">
        <f t="shared" si="2"/>
        <v>2005_0003</v>
      </c>
      <c r="M61" s="14">
        <f t="shared" si="3"/>
        <v>8999999.9999999981</v>
      </c>
      <c r="O61" s="55">
        <f t="shared" si="15"/>
        <v>15704892</v>
      </c>
      <c r="P61" s="55"/>
      <c r="Q61" s="55">
        <f t="shared" si="5"/>
        <v>482621.28</v>
      </c>
      <c r="R61" s="55">
        <f t="shared" si="6"/>
        <v>1299673.4000000001</v>
      </c>
      <c r="S61" s="55">
        <f t="shared" si="7"/>
        <v>0</v>
      </c>
      <c r="T61" s="55">
        <f t="shared" si="8"/>
        <v>205376.1</v>
      </c>
      <c r="U61" s="55">
        <f t="shared" si="12"/>
        <v>0.97000000067055225</v>
      </c>
      <c r="V61" s="55">
        <f t="shared" si="9"/>
        <v>15704892</v>
      </c>
      <c r="W61" s="55">
        <f t="shared" si="10"/>
        <v>16309921.224109588</v>
      </c>
      <c r="X61" s="14">
        <f>SUMPRODUCT((Annee_debut=$A61)*(emprunts!$C$2:$C$149=$C61),fraction_annee_absente)</f>
        <v>0</v>
      </c>
      <c r="Z61" s="14">
        <f t="shared" si="13"/>
        <v>16588402.859109588</v>
      </c>
      <c r="AA61" s="12">
        <f t="shared" si="11"/>
        <v>3.0640847965714462E-2</v>
      </c>
    </row>
    <row r="62" spans="1:27">
      <c r="A62">
        <v>2005</v>
      </c>
      <c r="B62" s="1" t="s">
        <v>165</v>
      </c>
      <c r="C62" s="17" t="str">
        <f t="shared" si="18"/>
        <v>Crédit Mutuel</v>
      </c>
      <c r="D62" s="2">
        <v>3942842.28</v>
      </c>
      <c r="E62" s="14">
        <v>3509806.31</v>
      </c>
      <c r="F62" s="14">
        <v>245784.34</v>
      </c>
      <c r="G62" s="14">
        <v>99270.26</v>
      </c>
      <c r="H62" s="14">
        <v>146514.07999999999</v>
      </c>
      <c r="I62" s="14">
        <f t="shared" si="16"/>
        <v>0</v>
      </c>
      <c r="J62" s="14">
        <v>66595.06</v>
      </c>
      <c r="K62" s="12">
        <f t="shared" si="1"/>
        <v>2.6432662462827251E-2</v>
      </c>
      <c r="L62" s="1" t="str">
        <f t="shared" si="2"/>
        <v>2005_0004</v>
      </c>
      <c r="M62" s="14">
        <f t="shared" si="3"/>
        <v>0</v>
      </c>
      <c r="O62" s="55">
        <f t="shared" si="15"/>
        <v>3509806</v>
      </c>
      <c r="P62" s="55"/>
      <c r="Q62" s="55">
        <f t="shared" si="5"/>
        <v>99270.260000000009</v>
      </c>
      <c r="R62" s="55">
        <f t="shared" si="6"/>
        <v>146514.08000000002</v>
      </c>
      <c r="S62" s="55">
        <f t="shared" si="7"/>
        <v>0</v>
      </c>
      <c r="T62" s="55">
        <f t="shared" si="8"/>
        <v>66595.06</v>
      </c>
      <c r="U62" s="55">
        <f t="shared" si="12"/>
        <v>0.31000000005587935</v>
      </c>
      <c r="V62" s="55">
        <f t="shared" si="9"/>
        <v>3509806</v>
      </c>
      <c r="W62" s="55">
        <f t="shared" si="10"/>
        <v>3166940.6974246576</v>
      </c>
      <c r="X62" s="14">
        <f>SUMPRODUCT((Annee_debut=$A62)*(emprunts!$C$2:$C$149=$C62),fraction_annee_absente)</f>
        <v>406405.47945205477</v>
      </c>
      <c r="Z62" s="14">
        <f t="shared" si="13"/>
        <v>3166941.0074246577</v>
      </c>
      <c r="AA62" s="12">
        <f t="shared" si="11"/>
        <v>3.1345787549331754E-2</v>
      </c>
    </row>
    <row r="63" spans="1:27">
      <c r="A63">
        <v>2005</v>
      </c>
      <c r="B63" s="1" t="s">
        <v>166</v>
      </c>
      <c r="C63" s="17" t="str">
        <f t="shared" si="18"/>
        <v>Société générale</v>
      </c>
      <c r="D63" s="2">
        <v>3087022.31</v>
      </c>
      <c r="E63" s="14">
        <v>1021272.07</v>
      </c>
      <c r="F63" s="14">
        <v>559694.9</v>
      </c>
      <c r="G63" s="14">
        <v>94257.39</v>
      </c>
      <c r="H63" s="14">
        <v>465437.51</v>
      </c>
      <c r="I63" s="14">
        <f t="shared" si="16"/>
        <v>0</v>
      </c>
      <c r="J63" s="14">
        <v>37252.65</v>
      </c>
      <c r="K63" s="12">
        <f t="shared" si="1"/>
        <v>5.9620088078120949E-2</v>
      </c>
      <c r="L63" s="1" t="str">
        <f t="shared" si="2"/>
        <v>2005_0005</v>
      </c>
      <c r="M63" s="14">
        <f t="shared" si="3"/>
        <v>8000000</v>
      </c>
      <c r="O63" s="55">
        <f t="shared" si="15"/>
        <v>0</v>
      </c>
      <c r="P63" s="55"/>
      <c r="Q63" s="55">
        <f t="shared" si="5"/>
        <v>0</v>
      </c>
      <c r="R63" s="55">
        <f t="shared" si="6"/>
        <v>0</v>
      </c>
      <c r="S63" s="55">
        <f t="shared" si="7"/>
        <v>0</v>
      </c>
      <c r="T63" s="55">
        <f t="shared" si="8"/>
        <v>0</v>
      </c>
      <c r="U63" s="55">
        <f t="shared" si="12"/>
        <v>1021272.07</v>
      </c>
      <c r="V63" s="55">
        <f t="shared" si="9"/>
        <v>0</v>
      </c>
      <c r="W63" s="55">
        <f t="shared" si="10"/>
        <v>0</v>
      </c>
      <c r="X63" s="14">
        <f>SUMPRODUCT((Annee_debut=$A63)*(emprunts!$C$2:$C$149=$C63),fraction_annee_absente)</f>
        <v>0</v>
      </c>
      <c r="Z63" s="14">
        <f t="shared" si="13"/>
        <v>1253990.825</v>
      </c>
      <c r="AA63" s="12">
        <f t="shared" si="11"/>
        <v>7.5165932733200019E-2</v>
      </c>
    </row>
    <row r="64" spans="1:27">
      <c r="A64">
        <v>2005</v>
      </c>
      <c r="B64" s="1" t="s">
        <v>167</v>
      </c>
      <c r="C64" s="17" t="str">
        <f t="shared" si="18"/>
        <v>Crédit Foncier</v>
      </c>
      <c r="D64" s="2">
        <v>2224840.96</v>
      </c>
      <c r="E64" s="14">
        <v>0</v>
      </c>
      <c r="F64" s="14">
        <v>1382776.25</v>
      </c>
      <c r="G64" s="14">
        <v>78270.350000000006</v>
      </c>
      <c r="H64" s="14">
        <v>1304505.8999999999</v>
      </c>
      <c r="I64" s="14">
        <f t="shared" si="16"/>
        <v>0</v>
      </c>
      <c r="J64" s="14">
        <v>0</v>
      </c>
      <c r="K64" s="12">
        <f t="shared" si="1"/>
        <v>5.6603770855913969E-2</v>
      </c>
      <c r="L64" s="1" t="str">
        <f t="shared" si="2"/>
        <v>2005_0014</v>
      </c>
      <c r="M64" s="14" t="str">
        <f t="shared" si="3"/>
        <v/>
      </c>
      <c r="O64" s="55">
        <f t="shared" si="15"/>
        <v>0</v>
      </c>
      <c r="P64" s="55"/>
      <c r="Q64" s="55">
        <f t="shared" si="5"/>
        <v>0</v>
      </c>
      <c r="R64" s="55">
        <f t="shared" si="6"/>
        <v>0</v>
      </c>
      <c r="S64" s="55">
        <f t="shared" si="7"/>
        <v>0</v>
      </c>
      <c r="T64" s="55">
        <f t="shared" si="8"/>
        <v>0</v>
      </c>
      <c r="U64" s="55">
        <f t="shared" si="12"/>
        <v>0</v>
      </c>
      <c r="V64" s="55">
        <f t="shared" si="9"/>
        <v>0</v>
      </c>
      <c r="W64" s="55">
        <f t="shared" si="10"/>
        <v>0</v>
      </c>
      <c r="X64" s="14">
        <f>SUMPRODUCT((Annee_debut=$A64)*(emprunts!$C$2:$C$149=$C64),fraction_annee_absente)</f>
        <v>0</v>
      </c>
      <c r="Z64" s="14">
        <f t="shared" si="13"/>
        <v>652252.94999999995</v>
      </c>
      <c r="AA64" s="12">
        <f t="shared" si="11"/>
        <v>0.11999999386740989</v>
      </c>
    </row>
    <row r="65" spans="1:27">
      <c r="A65">
        <v>2005</v>
      </c>
      <c r="B65" s="1" t="s">
        <v>168</v>
      </c>
      <c r="C65" s="17" t="str">
        <f t="shared" si="18"/>
        <v>Auxifip CEPME</v>
      </c>
      <c r="D65" s="2">
        <v>4329552.08</v>
      </c>
      <c r="E65" s="14">
        <v>1466431.23</v>
      </c>
      <c r="F65" s="14">
        <v>531340.13</v>
      </c>
      <c r="G65" s="14">
        <v>136752.01</v>
      </c>
      <c r="H65" s="14">
        <v>394588.12</v>
      </c>
      <c r="I65" s="14">
        <f t="shared" si="16"/>
        <v>0</v>
      </c>
      <c r="J65" s="14">
        <v>0</v>
      </c>
      <c r="K65" s="12">
        <f t="shared" si="1"/>
        <v>6.8452282747711438E-2</v>
      </c>
      <c r="L65" s="1" t="str">
        <f t="shared" si="2"/>
        <v>2005_0015</v>
      </c>
      <c r="M65" s="14">
        <f t="shared" si="3"/>
        <v>0</v>
      </c>
      <c r="O65" s="55">
        <f t="shared" si="15"/>
        <v>0</v>
      </c>
      <c r="P65" s="55"/>
      <c r="Q65" s="55">
        <f t="shared" si="5"/>
        <v>0</v>
      </c>
      <c r="R65" s="55">
        <f t="shared" si="6"/>
        <v>0</v>
      </c>
      <c r="S65" s="55">
        <f t="shared" si="7"/>
        <v>0</v>
      </c>
      <c r="T65" s="55">
        <f t="shared" si="8"/>
        <v>0</v>
      </c>
      <c r="U65" s="55">
        <f t="shared" si="12"/>
        <v>1466431.23</v>
      </c>
      <c r="V65" s="55">
        <f t="shared" si="9"/>
        <v>0</v>
      </c>
      <c r="W65" s="55">
        <f t="shared" si="10"/>
        <v>0</v>
      </c>
      <c r="X65" s="14">
        <f>SUMPRODUCT((Annee_debut=$A65)*(emprunts!$C$2:$C$149=$C65),fraction_annee_absente)</f>
        <v>0</v>
      </c>
      <c r="Z65" s="14">
        <f t="shared" si="13"/>
        <v>1663725.29</v>
      </c>
      <c r="AA65" s="12">
        <f t="shared" si="11"/>
        <v>8.2196268111065382E-2</v>
      </c>
    </row>
    <row r="66" spans="1:27">
      <c r="A66">
        <v>2005</v>
      </c>
      <c r="B66" s="1" t="s">
        <v>169</v>
      </c>
      <c r="C66" s="17" t="str">
        <f t="shared" si="18"/>
        <v>Natixis</v>
      </c>
      <c r="D66" s="2">
        <v>0</v>
      </c>
      <c r="E66" s="14">
        <v>0</v>
      </c>
      <c r="F66" s="14">
        <v>0</v>
      </c>
      <c r="G66" s="14">
        <v>0</v>
      </c>
      <c r="H66" s="14">
        <v>0</v>
      </c>
      <c r="I66" s="14">
        <f t="shared" si="16"/>
        <v>0</v>
      </c>
      <c r="J66" s="14">
        <v>0</v>
      </c>
      <c r="K66" s="12" t="str">
        <f t="shared" ref="K66:K129" si="19">IF(E66+F66=0,"",G66/(E66+F66))</f>
        <v/>
      </c>
      <c r="L66" s="1" t="str">
        <f t="shared" ref="L66:L129" si="20">A66&amp;"_"&amp;B66</f>
        <v>2005_0016</v>
      </c>
      <c r="M66" s="14" t="str">
        <f t="shared" ref="M66:M129" si="21">IF(E66&gt;0,INDEX(E:E,MATCH((A66+1)&amp;"_"&amp;B66,L:L,0))+INDEX(H:H,MATCH((A66+1)&amp;"_"&amp;B66,L:L,0))-E66,"")</f>
        <v/>
      </c>
      <c r="O66" s="55">
        <f t="shared" si="15"/>
        <v>0</v>
      </c>
      <c r="P66" s="55"/>
      <c r="Q66" s="55">
        <f t="shared" ref="Q66:Q129" si="22">SUMPRODUCT((annee=$A66)*(preteur=$C66),interet)+SUMPRODUCT((annee=$A66)*(preteur=$C66),Frais)</f>
        <v>0</v>
      </c>
      <c r="R66" s="55">
        <f t="shared" ref="R66:R129" si="23">SUMPRODUCT((annee=$A66)*(preteur=$C66),amortissement)</f>
        <v>0</v>
      </c>
      <c r="S66" s="55">
        <f t="shared" ref="S66:S129" si="24">SUMPRODUCT((annee=$A66)*(preteur=$C66),Frais)</f>
        <v>0</v>
      </c>
      <c r="T66" s="55">
        <f t="shared" ref="T66:T129" si="25">SUMPRODUCT((annee=$A66)*(preteur=$C66),ICNE)</f>
        <v>0</v>
      </c>
      <c r="U66" s="55">
        <f t="shared" si="12"/>
        <v>0</v>
      </c>
      <c r="V66" s="55">
        <f t="shared" ref="V66:V129" si="26">SUMPRODUCT((annee=$A66)*(preteur=$C66),encours)</f>
        <v>0</v>
      </c>
      <c r="W66" s="55">
        <f t="shared" ref="W66:W129" si="27">SUMPRODUCT((annee=$A66)*(preteur=$C66),encours_moyen)</f>
        <v>0</v>
      </c>
      <c r="X66" s="14">
        <f>SUMPRODUCT((Annee_debut=$A66)*(emprunts!$C$2:$C$149=$C66),fraction_annee_absente)</f>
        <v>0</v>
      </c>
      <c r="Z66" s="14">
        <f t="shared" si="13"/>
        <v>0</v>
      </c>
      <c r="AA66" s="12" t="e">
        <f t="shared" ref="AA66:AA129" si="28">G66/Z66</f>
        <v>#DIV/0!</v>
      </c>
    </row>
    <row r="67" spans="1:27">
      <c r="A67">
        <v>2005</v>
      </c>
      <c r="B67" s="1" t="s">
        <v>171</v>
      </c>
      <c r="C67" s="17" t="str">
        <f t="shared" si="18"/>
        <v>Deutsche Hypothekenbank</v>
      </c>
      <c r="D67" s="2">
        <v>3811225.43</v>
      </c>
      <c r="E67" s="14">
        <v>0</v>
      </c>
      <c r="F67" s="14">
        <v>2267505.64</v>
      </c>
      <c r="G67" s="14">
        <v>177638.78</v>
      </c>
      <c r="H67" s="14">
        <v>2089866.86</v>
      </c>
      <c r="I67" s="14">
        <f t="shared" si="16"/>
        <v>0</v>
      </c>
      <c r="J67" s="14">
        <v>0</v>
      </c>
      <c r="K67" s="12">
        <f t="shared" si="19"/>
        <v>7.8341053211228168E-2</v>
      </c>
      <c r="L67" s="1" t="str">
        <f t="shared" si="20"/>
        <v>2005_0022</v>
      </c>
      <c r="M67" s="14" t="str">
        <f t="shared" si="21"/>
        <v/>
      </c>
      <c r="O67" s="55">
        <f t="shared" si="15"/>
        <v>0</v>
      </c>
      <c r="P67" s="55"/>
      <c r="Q67" s="55">
        <f t="shared" si="22"/>
        <v>0</v>
      </c>
      <c r="R67" s="55">
        <f t="shared" si="23"/>
        <v>0</v>
      </c>
      <c r="S67" s="55">
        <f t="shared" si="24"/>
        <v>0</v>
      </c>
      <c r="T67" s="55">
        <f t="shared" si="25"/>
        <v>0</v>
      </c>
      <c r="U67" s="55">
        <f t="shared" ref="U67:U130" si="29">E67-O67</f>
        <v>0</v>
      </c>
      <c r="V67" s="55">
        <f t="shared" si="26"/>
        <v>0</v>
      </c>
      <c r="W67" s="55">
        <f t="shared" si="27"/>
        <v>0</v>
      </c>
      <c r="X67" s="14">
        <f>SUMPRODUCT((Annee_debut=$A67)*(emprunts!$C$2:$C$149=$C67),fraction_annee_absente)</f>
        <v>0</v>
      </c>
      <c r="Z67" s="14">
        <f t="shared" ref="Z67:Z98" si="30">W67+(U67+(H67-R67)/2)</f>
        <v>1044933.43</v>
      </c>
      <c r="AA67" s="12">
        <f t="shared" si="28"/>
        <v>0.17000009273318012</v>
      </c>
    </row>
    <row r="68" spans="1:27">
      <c r="A68">
        <v>2005</v>
      </c>
      <c r="B68" s="1" t="s">
        <v>173</v>
      </c>
      <c r="C68" s="17" t="str">
        <f t="shared" si="18"/>
        <v>Crédit Agricole</v>
      </c>
      <c r="D68" s="2">
        <v>13097112.84</v>
      </c>
      <c r="E68" s="14">
        <v>10988735.34</v>
      </c>
      <c r="F68" s="14">
        <v>1137157.74</v>
      </c>
      <c r="G68" s="14">
        <v>410054.36</v>
      </c>
      <c r="H68" s="14">
        <v>727103.38</v>
      </c>
      <c r="I68" s="14">
        <f t="shared" ref="I68:I99" si="31">F68-SUM(G68:H68)</f>
        <v>0</v>
      </c>
      <c r="J68" s="14">
        <v>226106.28</v>
      </c>
      <c r="K68" s="12">
        <f t="shared" si="19"/>
        <v>3.3816425503233945E-2</v>
      </c>
      <c r="L68" s="1" t="str">
        <f t="shared" si="20"/>
        <v>2005_0023</v>
      </c>
      <c r="M68" s="14">
        <f t="shared" si="21"/>
        <v>5000000</v>
      </c>
      <c r="O68" s="55">
        <f t="shared" si="15"/>
        <v>10988735</v>
      </c>
      <c r="P68" s="55"/>
      <c r="Q68" s="55">
        <f t="shared" si="22"/>
        <v>410054.36</v>
      </c>
      <c r="R68" s="55">
        <f t="shared" si="23"/>
        <v>727103.38</v>
      </c>
      <c r="S68" s="55">
        <f t="shared" si="24"/>
        <v>0</v>
      </c>
      <c r="T68" s="55">
        <f t="shared" si="25"/>
        <v>226106.28</v>
      </c>
      <c r="U68" s="55">
        <f t="shared" si="29"/>
        <v>0.33999999985098839</v>
      </c>
      <c r="V68" s="55">
        <f t="shared" si="26"/>
        <v>10988735</v>
      </c>
      <c r="W68" s="55">
        <f t="shared" si="27"/>
        <v>11321184.534684932</v>
      </c>
      <c r="X68" s="14">
        <f>SUMPRODUCT((Annee_debut=$A68)*(emprunts!$C$2:$C$149=$C68),fraction_annee_absente)</f>
        <v>0</v>
      </c>
      <c r="Z68" s="14">
        <f t="shared" si="30"/>
        <v>11321184.874684932</v>
      </c>
      <c r="AA68" s="12">
        <f t="shared" si="28"/>
        <v>3.6220092202267108E-2</v>
      </c>
    </row>
    <row r="69" spans="1:27">
      <c r="A69">
        <v>2005</v>
      </c>
      <c r="B69" s="1" t="s">
        <v>172</v>
      </c>
      <c r="C69" s="17" t="str">
        <f t="shared" si="18"/>
        <v>Rheinboden Hypothekenbank</v>
      </c>
      <c r="D69" s="2">
        <v>1997082.13</v>
      </c>
      <c r="E69" s="14">
        <v>663153.23</v>
      </c>
      <c r="F69" s="14">
        <v>201019.66</v>
      </c>
      <c r="G69" s="14">
        <v>67626.77</v>
      </c>
      <c r="H69" s="14">
        <v>133392.89000000001</v>
      </c>
      <c r="I69" s="14">
        <f t="shared" si="31"/>
        <v>0</v>
      </c>
      <c r="J69" s="14">
        <v>0</v>
      </c>
      <c r="K69" s="12">
        <f t="shared" si="19"/>
        <v>7.8256065172329123E-2</v>
      </c>
      <c r="L69" s="1" t="str">
        <f t="shared" si="20"/>
        <v>2005_0025</v>
      </c>
      <c r="M69" s="14">
        <f t="shared" si="21"/>
        <v>0</v>
      </c>
      <c r="O69" s="55">
        <f t="shared" si="15"/>
        <v>0</v>
      </c>
      <c r="P69" s="55"/>
      <c r="Q69" s="55">
        <f t="shared" si="22"/>
        <v>0</v>
      </c>
      <c r="R69" s="55">
        <f t="shared" si="23"/>
        <v>0</v>
      </c>
      <c r="S69" s="55">
        <f t="shared" si="24"/>
        <v>0</v>
      </c>
      <c r="T69" s="55">
        <f t="shared" si="25"/>
        <v>0</v>
      </c>
      <c r="U69" s="55">
        <f t="shared" si="29"/>
        <v>663153.23</v>
      </c>
      <c r="V69" s="55">
        <f t="shared" si="26"/>
        <v>0</v>
      </c>
      <c r="W69" s="55">
        <f t="shared" si="27"/>
        <v>0</v>
      </c>
      <c r="X69" s="14">
        <f>SUMPRODUCT((Annee_debut=$A69)*(emprunts!$C$2:$C$149=$C69),fraction_annee_absente)</f>
        <v>0</v>
      </c>
      <c r="Z69" s="14">
        <f t="shared" si="30"/>
        <v>729849.67500000005</v>
      </c>
      <c r="AA69" s="12">
        <f t="shared" si="28"/>
        <v>9.2658491627060052E-2</v>
      </c>
    </row>
    <row r="70" spans="1:27">
      <c r="A70">
        <v>2006</v>
      </c>
      <c r="B70" s="1" t="s">
        <v>162</v>
      </c>
      <c r="C70" s="17" t="str">
        <f t="shared" ref="C70:C80" si="32">VLOOKUP(B70,preteurs,2,FALSE)</f>
        <v>CDC</v>
      </c>
      <c r="D70" s="2">
        <v>22821915.800000001</v>
      </c>
      <c r="E70" s="14">
        <v>10306080.6</v>
      </c>
      <c r="F70" s="14">
        <v>10318887.470000001</v>
      </c>
      <c r="G70" s="14">
        <v>603170.56000000006</v>
      </c>
      <c r="H70" s="14">
        <v>9715716.9100000001</v>
      </c>
      <c r="I70" s="14">
        <f t="shared" si="31"/>
        <v>0</v>
      </c>
      <c r="K70" s="12">
        <f t="shared" si="19"/>
        <v>2.9244678486428321E-2</v>
      </c>
      <c r="L70" s="1" t="str">
        <f t="shared" si="20"/>
        <v>2006_0001</v>
      </c>
      <c r="M70" s="14">
        <f t="shared" si="21"/>
        <v>-5105054.6899999995</v>
      </c>
      <c r="O70" s="55">
        <f t="shared" si="15"/>
        <v>8530208</v>
      </c>
      <c r="P70" s="55"/>
      <c r="Q70" s="55">
        <f t="shared" si="22"/>
        <v>317868.58999999997</v>
      </c>
      <c r="R70" s="55">
        <f t="shared" si="23"/>
        <v>3164857.87</v>
      </c>
      <c r="S70" s="55">
        <f t="shared" si="24"/>
        <v>0</v>
      </c>
      <c r="T70" s="55">
        <f t="shared" si="25"/>
        <v>226312.04</v>
      </c>
      <c r="U70" s="55">
        <f t="shared" si="29"/>
        <v>1775872.5999999996</v>
      </c>
      <c r="V70" s="55">
        <f t="shared" si="26"/>
        <v>8530208</v>
      </c>
      <c r="W70" s="55">
        <f t="shared" si="27"/>
        <v>10084931.080383562</v>
      </c>
      <c r="X70" s="14">
        <f>SUMPRODUCT((Annee_debut=$A70)*(emprunts!$C$2:$C$149=$C70),fraction_annee_absente)</f>
        <v>0</v>
      </c>
      <c r="Z70" s="14">
        <f t="shared" si="30"/>
        <v>15136233.200383561</v>
      </c>
      <c r="AA70" s="12">
        <f t="shared" si="28"/>
        <v>3.9849449464396162E-2</v>
      </c>
    </row>
    <row r="71" spans="1:27">
      <c r="A71">
        <v>2006</v>
      </c>
      <c r="B71" s="1" t="s">
        <v>163</v>
      </c>
      <c r="C71" s="17" t="str">
        <f t="shared" si="32"/>
        <v>Dexia CL</v>
      </c>
      <c r="D71" s="2">
        <v>219211985.06</v>
      </c>
      <c r="E71" s="14">
        <v>138093580.63999999</v>
      </c>
      <c r="F71" s="14">
        <v>10311565.48</v>
      </c>
      <c r="G71" s="14">
        <v>4370078.43</v>
      </c>
      <c r="H71" s="14">
        <v>5941487.0499999998</v>
      </c>
      <c r="I71" s="14">
        <f t="shared" si="31"/>
        <v>0</v>
      </c>
      <c r="K71" s="12">
        <f t="shared" si="19"/>
        <v>2.9446946714815177E-2</v>
      </c>
      <c r="L71" s="1" t="str">
        <f t="shared" si="20"/>
        <v>2006_0002</v>
      </c>
      <c r="M71" s="14">
        <f t="shared" si="21"/>
        <v>14074835.630000025</v>
      </c>
      <c r="O71" s="55">
        <f t="shared" si="15"/>
        <v>136542862</v>
      </c>
      <c r="P71" s="55"/>
      <c r="Q71" s="55">
        <f t="shared" si="22"/>
        <v>4091573.21</v>
      </c>
      <c r="R71" s="55">
        <f t="shared" si="23"/>
        <v>5903374.8000000007</v>
      </c>
      <c r="S71" s="55">
        <f t="shared" si="24"/>
        <v>0</v>
      </c>
      <c r="T71" s="55">
        <f t="shared" si="25"/>
        <v>2620736.9899999998</v>
      </c>
      <c r="U71" s="55">
        <f t="shared" si="29"/>
        <v>1550718.6399999857</v>
      </c>
      <c r="V71" s="55">
        <f t="shared" si="26"/>
        <v>136542862</v>
      </c>
      <c r="W71" s="55">
        <f t="shared" si="27"/>
        <v>126313440.24576713</v>
      </c>
      <c r="X71" s="14">
        <f>SUMPRODUCT((Annee_debut=$A71)*(emprunts!$C$2:$C$149=$C71),fraction_annee_absente)</f>
        <v>2691780.8219178086</v>
      </c>
      <c r="Z71" s="14">
        <f t="shared" si="30"/>
        <v>127883215.01076712</v>
      </c>
      <c r="AA71" s="12">
        <f t="shared" si="28"/>
        <v>3.4172416056572091E-2</v>
      </c>
    </row>
    <row r="72" spans="1:27">
      <c r="A72">
        <v>2006</v>
      </c>
      <c r="B72" s="1" t="s">
        <v>164</v>
      </c>
      <c r="C72" s="17" t="str">
        <f t="shared" si="32"/>
        <v>Caisse d'Épargne</v>
      </c>
      <c r="D72" s="2">
        <v>38679813.619999997</v>
      </c>
      <c r="E72" s="14">
        <v>23481170.57</v>
      </c>
      <c r="F72" s="14">
        <v>1563661.54</v>
      </c>
      <c r="G72" s="14">
        <v>339939.14</v>
      </c>
      <c r="H72" s="14">
        <v>1223722.3999999999</v>
      </c>
      <c r="I72" s="14">
        <f t="shared" si="31"/>
        <v>0</v>
      </c>
      <c r="K72" s="12">
        <f t="shared" si="19"/>
        <v>1.3573224947444059E-2</v>
      </c>
      <c r="L72" s="1" t="str">
        <f t="shared" si="20"/>
        <v>2006_0003</v>
      </c>
      <c r="M72" s="14">
        <f t="shared" si="21"/>
        <v>5000000</v>
      </c>
      <c r="O72" s="55">
        <f t="shared" si="15"/>
        <v>23481171</v>
      </c>
      <c r="P72" s="55"/>
      <c r="Q72" s="55">
        <f t="shared" si="22"/>
        <v>339939.14</v>
      </c>
      <c r="R72" s="55">
        <f t="shared" si="23"/>
        <v>1223722.3999999999</v>
      </c>
      <c r="S72" s="55">
        <f t="shared" si="24"/>
        <v>0</v>
      </c>
      <c r="T72" s="55">
        <f t="shared" si="25"/>
        <v>353718.44</v>
      </c>
      <c r="U72" s="55">
        <f t="shared" si="29"/>
        <v>-0.42999999970197678</v>
      </c>
      <c r="V72" s="55">
        <f t="shared" si="26"/>
        <v>23481171</v>
      </c>
      <c r="W72" s="55">
        <f t="shared" si="27"/>
        <v>18632778.552164383</v>
      </c>
      <c r="X72" s="14">
        <f>SUMPRODUCT((Annee_debut=$A72)*(emprunts!$C$2:$C$149=$C72),fraction_annee_absente)</f>
        <v>5150684.9315068498</v>
      </c>
      <c r="Z72" s="14">
        <f t="shared" si="30"/>
        <v>18632778.122164384</v>
      </c>
      <c r="AA72" s="12">
        <f t="shared" si="28"/>
        <v>1.8244146834745473E-2</v>
      </c>
    </row>
    <row r="73" spans="1:27">
      <c r="A73">
        <v>2006</v>
      </c>
      <c r="B73" s="1" t="s">
        <v>165</v>
      </c>
      <c r="C73" s="17" t="str">
        <f t="shared" si="32"/>
        <v>Crédit Mutuel</v>
      </c>
      <c r="D73" s="2">
        <v>3942842.28</v>
      </c>
      <c r="E73" s="14">
        <v>3007847.02</v>
      </c>
      <c r="F73" s="14">
        <v>619902.77</v>
      </c>
      <c r="G73" s="14">
        <v>117943.48</v>
      </c>
      <c r="H73" s="14">
        <v>501959.29</v>
      </c>
      <c r="I73" s="14">
        <f t="shared" si="31"/>
        <v>0</v>
      </c>
      <c r="K73" s="12">
        <f t="shared" si="19"/>
        <v>3.2511470423102137E-2</v>
      </c>
      <c r="L73" s="1" t="str">
        <f t="shared" si="20"/>
        <v>2006_0004</v>
      </c>
      <c r="M73" s="14">
        <f t="shared" si="21"/>
        <v>0</v>
      </c>
      <c r="O73" s="55">
        <f t="shared" si="15"/>
        <v>3007847</v>
      </c>
      <c r="P73" s="55"/>
      <c r="Q73" s="55">
        <f t="shared" si="22"/>
        <v>117943.48000000001</v>
      </c>
      <c r="R73" s="55">
        <f t="shared" si="23"/>
        <v>501959.29</v>
      </c>
      <c r="S73" s="55">
        <f t="shared" si="24"/>
        <v>0</v>
      </c>
      <c r="T73" s="55">
        <f t="shared" si="25"/>
        <v>53644.74</v>
      </c>
      <c r="U73" s="55">
        <f t="shared" si="29"/>
        <v>2.0000000018626451E-2</v>
      </c>
      <c r="V73" s="55">
        <f t="shared" si="26"/>
        <v>3007847</v>
      </c>
      <c r="W73" s="55">
        <f t="shared" si="27"/>
        <v>3249898.3528219182</v>
      </c>
      <c r="X73" s="14">
        <f>SUMPRODUCT((Annee_debut=$A73)*(emprunts!$C$2:$C$149=$C73),fraction_annee_absente)</f>
        <v>0</v>
      </c>
      <c r="Z73" s="14">
        <f t="shared" si="30"/>
        <v>3249898.3728219182</v>
      </c>
      <c r="AA73" s="12">
        <f t="shared" si="28"/>
        <v>3.6291436368082033E-2</v>
      </c>
    </row>
    <row r="74" spans="1:27">
      <c r="A74">
        <v>2006</v>
      </c>
      <c r="B74" s="1" t="s">
        <v>166</v>
      </c>
      <c r="C74" s="17" t="str">
        <f t="shared" si="32"/>
        <v>Société générale</v>
      </c>
      <c r="D74" s="2">
        <v>13087022.310000001</v>
      </c>
      <c r="E74" s="14">
        <v>8526325.8200000003</v>
      </c>
      <c r="F74" s="14">
        <v>559694.9</v>
      </c>
      <c r="G74" s="14">
        <v>64748.65</v>
      </c>
      <c r="H74" s="14">
        <v>494946.25</v>
      </c>
      <c r="I74" s="14">
        <f t="shared" si="31"/>
        <v>0</v>
      </c>
      <c r="K74" s="12">
        <f t="shared" si="19"/>
        <v>7.1261833970372012E-3</v>
      </c>
      <c r="L74" s="1" t="str">
        <f t="shared" si="20"/>
        <v>2006_0005</v>
      </c>
      <c r="M74" s="14">
        <f t="shared" si="21"/>
        <v>2000000</v>
      </c>
      <c r="O74" s="55">
        <f t="shared" si="15"/>
        <v>8000000</v>
      </c>
      <c r="P74" s="55"/>
      <c r="Q74" s="55">
        <f t="shared" si="22"/>
        <v>0</v>
      </c>
      <c r="R74" s="55">
        <f t="shared" si="23"/>
        <v>0</v>
      </c>
      <c r="S74" s="55">
        <f t="shared" si="24"/>
        <v>0</v>
      </c>
      <c r="T74" s="55">
        <f t="shared" si="25"/>
        <v>23669.89</v>
      </c>
      <c r="U74" s="55">
        <f t="shared" si="29"/>
        <v>526325.8200000003</v>
      </c>
      <c r="V74" s="55">
        <f t="shared" si="26"/>
        <v>8000000</v>
      </c>
      <c r="W74" s="55">
        <f t="shared" si="27"/>
        <v>854794.52054794529</v>
      </c>
      <c r="X74" s="14">
        <f>SUMPRODUCT((Annee_debut=$A74)*(emprunts!$C$2:$C$149=$C74),fraction_annee_absente)</f>
        <v>8904109.5890410952</v>
      </c>
      <c r="Z74" s="14">
        <f t="shared" si="30"/>
        <v>1628593.4655479456</v>
      </c>
      <c r="AA74" s="12">
        <f t="shared" si="28"/>
        <v>3.9757405006052328E-2</v>
      </c>
    </row>
    <row r="75" spans="1:27">
      <c r="A75">
        <v>2006</v>
      </c>
      <c r="B75" s="1" t="s">
        <v>167</v>
      </c>
      <c r="C75" s="17" t="str">
        <f t="shared" si="32"/>
        <v>Crédit Foncier</v>
      </c>
      <c r="D75" s="2">
        <v>0</v>
      </c>
      <c r="E75" s="14">
        <v>0</v>
      </c>
      <c r="F75" s="14">
        <v>0</v>
      </c>
      <c r="G75" s="14">
        <v>0</v>
      </c>
      <c r="H75" s="14">
        <v>0</v>
      </c>
      <c r="I75" s="14">
        <f t="shared" si="31"/>
        <v>0</v>
      </c>
      <c r="K75" s="12" t="str">
        <f t="shared" si="19"/>
        <v/>
      </c>
      <c r="L75" s="1" t="str">
        <f t="shared" si="20"/>
        <v>2006_0014</v>
      </c>
      <c r="M75" s="14" t="str">
        <f t="shared" si="21"/>
        <v/>
      </c>
      <c r="O75" s="55">
        <f t="shared" si="15"/>
        <v>0</v>
      </c>
      <c r="P75" s="55"/>
      <c r="Q75" s="55">
        <f t="shared" si="22"/>
        <v>0</v>
      </c>
      <c r="R75" s="55">
        <f t="shared" si="23"/>
        <v>0</v>
      </c>
      <c r="S75" s="55">
        <f t="shared" si="24"/>
        <v>0</v>
      </c>
      <c r="T75" s="55">
        <f t="shared" si="25"/>
        <v>0</v>
      </c>
      <c r="U75" s="55">
        <f t="shared" si="29"/>
        <v>0</v>
      </c>
      <c r="V75" s="55">
        <f t="shared" si="26"/>
        <v>0</v>
      </c>
      <c r="W75" s="55">
        <f t="shared" si="27"/>
        <v>0</v>
      </c>
      <c r="X75" s="14">
        <f>SUMPRODUCT((Annee_debut=$A75)*(emprunts!$C$2:$C$149=$C75),fraction_annee_absente)</f>
        <v>0</v>
      </c>
      <c r="Z75" s="14">
        <f t="shared" si="30"/>
        <v>0</v>
      </c>
      <c r="AA75" s="12" t="e">
        <f t="shared" si="28"/>
        <v>#DIV/0!</v>
      </c>
    </row>
    <row r="76" spans="1:27">
      <c r="A76">
        <v>2006</v>
      </c>
      <c r="B76" s="1" t="s">
        <v>168</v>
      </c>
      <c r="C76" s="17" t="str">
        <f t="shared" si="32"/>
        <v>Auxifip CEPME</v>
      </c>
      <c r="D76" s="2">
        <v>4329552.08</v>
      </c>
      <c r="E76" s="14">
        <v>1041991.74</v>
      </c>
      <c r="F76" s="14">
        <v>531340.14</v>
      </c>
      <c r="G76" s="14">
        <v>106900.65</v>
      </c>
      <c r="H76" s="14">
        <v>424439.49</v>
      </c>
      <c r="I76" s="14">
        <f t="shared" si="31"/>
        <v>0</v>
      </c>
      <c r="K76" s="12">
        <f t="shared" si="19"/>
        <v>6.7945391152946066E-2</v>
      </c>
      <c r="L76" s="1" t="str">
        <f t="shared" si="20"/>
        <v>2006_0015</v>
      </c>
      <c r="M76" s="14">
        <f t="shared" si="21"/>
        <v>0</v>
      </c>
      <c r="O76" s="55">
        <f t="shared" si="15"/>
        <v>0</v>
      </c>
      <c r="P76" s="55"/>
      <c r="Q76" s="55">
        <f t="shared" si="22"/>
        <v>0</v>
      </c>
      <c r="R76" s="55">
        <f t="shared" si="23"/>
        <v>0</v>
      </c>
      <c r="S76" s="55">
        <f t="shared" si="24"/>
        <v>0</v>
      </c>
      <c r="T76" s="55">
        <f t="shared" si="25"/>
        <v>0</v>
      </c>
      <c r="U76" s="55">
        <f t="shared" si="29"/>
        <v>1041991.74</v>
      </c>
      <c r="V76" s="55">
        <f t="shared" si="26"/>
        <v>0</v>
      </c>
      <c r="W76" s="55">
        <f t="shared" si="27"/>
        <v>0</v>
      </c>
      <c r="X76" s="14">
        <f>SUMPRODUCT((Annee_debut=$A76)*(emprunts!$C$2:$C$149=$C76),fraction_annee_absente)</f>
        <v>0</v>
      </c>
      <c r="Z76" s="14">
        <f t="shared" si="30"/>
        <v>1254211.4849999999</v>
      </c>
      <c r="AA76" s="12">
        <f t="shared" si="28"/>
        <v>8.5233352810511059E-2</v>
      </c>
    </row>
    <row r="77" spans="1:27">
      <c r="A77">
        <v>2006</v>
      </c>
      <c r="B77" s="1" t="s">
        <v>169</v>
      </c>
      <c r="C77" s="17" t="str">
        <f t="shared" si="32"/>
        <v>Natixis</v>
      </c>
      <c r="D77" s="2">
        <v>0</v>
      </c>
      <c r="E77" s="14">
        <v>0</v>
      </c>
      <c r="F77" s="14">
        <v>0</v>
      </c>
      <c r="G77" s="14">
        <v>0</v>
      </c>
      <c r="H77" s="14">
        <v>0</v>
      </c>
      <c r="I77" s="14">
        <f t="shared" si="31"/>
        <v>0</v>
      </c>
      <c r="K77" s="12" t="str">
        <f t="shared" si="19"/>
        <v/>
      </c>
      <c r="L77" s="1" t="str">
        <f t="shared" si="20"/>
        <v>2006_0016</v>
      </c>
      <c r="M77" s="14" t="str">
        <f t="shared" si="21"/>
        <v/>
      </c>
      <c r="O77" s="55">
        <f t="shared" si="15"/>
        <v>0</v>
      </c>
      <c r="P77" s="55"/>
      <c r="Q77" s="55">
        <f t="shared" si="22"/>
        <v>0</v>
      </c>
      <c r="R77" s="55">
        <f t="shared" si="23"/>
        <v>0</v>
      </c>
      <c r="S77" s="55">
        <f t="shared" si="24"/>
        <v>0</v>
      </c>
      <c r="T77" s="55">
        <f t="shared" si="25"/>
        <v>0</v>
      </c>
      <c r="U77" s="55">
        <f t="shared" si="29"/>
        <v>0</v>
      </c>
      <c r="V77" s="55">
        <f t="shared" si="26"/>
        <v>0</v>
      </c>
      <c r="W77" s="55">
        <f t="shared" si="27"/>
        <v>0</v>
      </c>
      <c r="X77" s="14">
        <f>SUMPRODUCT((Annee_debut=$A77)*(emprunts!$C$2:$C$149=$C77),fraction_annee_absente)</f>
        <v>0</v>
      </c>
      <c r="Z77" s="14">
        <f t="shared" si="30"/>
        <v>0</v>
      </c>
      <c r="AA77" s="12" t="e">
        <f t="shared" si="28"/>
        <v>#DIV/0!</v>
      </c>
    </row>
    <row r="78" spans="1:27">
      <c r="A78">
        <v>2006</v>
      </c>
      <c r="B78" s="1" t="s">
        <v>171</v>
      </c>
      <c r="C78" s="17" t="str">
        <f t="shared" si="32"/>
        <v>Deutsche Hypothekenbank</v>
      </c>
      <c r="D78" s="2">
        <v>0</v>
      </c>
      <c r="E78" s="14">
        <v>0</v>
      </c>
      <c r="F78" s="14">
        <v>0</v>
      </c>
      <c r="G78" s="14">
        <v>0</v>
      </c>
      <c r="H78" s="14">
        <v>0</v>
      </c>
      <c r="I78" s="14">
        <f t="shared" si="31"/>
        <v>0</v>
      </c>
      <c r="K78" s="12" t="str">
        <f t="shared" si="19"/>
        <v/>
      </c>
      <c r="L78" s="1" t="str">
        <f t="shared" si="20"/>
        <v>2006_0022</v>
      </c>
      <c r="M78" s="14" t="str">
        <f t="shared" si="21"/>
        <v/>
      </c>
      <c r="O78" s="55">
        <f t="shared" si="15"/>
        <v>0</v>
      </c>
      <c r="P78" s="55"/>
      <c r="Q78" s="55">
        <f t="shared" si="22"/>
        <v>0</v>
      </c>
      <c r="R78" s="55">
        <f t="shared" si="23"/>
        <v>0</v>
      </c>
      <c r="S78" s="55">
        <f t="shared" si="24"/>
        <v>0</v>
      </c>
      <c r="T78" s="55">
        <f t="shared" si="25"/>
        <v>0</v>
      </c>
      <c r="U78" s="55">
        <f t="shared" si="29"/>
        <v>0</v>
      </c>
      <c r="V78" s="55">
        <f t="shared" si="26"/>
        <v>0</v>
      </c>
      <c r="W78" s="55">
        <f t="shared" si="27"/>
        <v>0</v>
      </c>
      <c r="X78" s="14">
        <f>SUMPRODUCT((Annee_debut=$A78)*(emprunts!$C$2:$C$149=$C78),fraction_annee_absente)</f>
        <v>0</v>
      </c>
      <c r="Z78" s="14">
        <f t="shared" si="30"/>
        <v>0</v>
      </c>
      <c r="AA78" s="12" t="e">
        <f t="shared" si="28"/>
        <v>#DIV/0!</v>
      </c>
    </row>
    <row r="79" spans="1:27">
      <c r="A79">
        <v>2006</v>
      </c>
      <c r="B79" s="1" t="s">
        <v>173</v>
      </c>
      <c r="C79" s="17" t="str">
        <f t="shared" si="32"/>
        <v>Crédit Agricole</v>
      </c>
      <c r="D79" s="2">
        <v>18097112.84</v>
      </c>
      <c r="E79" s="14">
        <v>15236183.35</v>
      </c>
      <c r="F79" s="14">
        <v>1033824.54</v>
      </c>
      <c r="G79" s="14">
        <v>281272.55</v>
      </c>
      <c r="H79" s="14">
        <v>752551.99</v>
      </c>
      <c r="I79" s="14">
        <f t="shared" si="31"/>
        <v>0</v>
      </c>
      <c r="K79" s="12">
        <f t="shared" si="19"/>
        <v>1.728779432079304E-2</v>
      </c>
      <c r="L79" s="1" t="str">
        <f t="shared" si="20"/>
        <v>2006_0023</v>
      </c>
      <c r="M79" s="14">
        <f t="shared" si="21"/>
        <v>4999999.9999999981</v>
      </c>
      <c r="O79" s="55">
        <f t="shared" si="15"/>
        <v>15236183</v>
      </c>
      <c r="P79" s="55"/>
      <c r="Q79" s="55">
        <f t="shared" si="22"/>
        <v>281272.55</v>
      </c>
      <c r="R79" s="55">
        <f t="shared" si="23"/>
        <v>752551.99</v>
      </c>
      <c r="S79" s="55">
        <f t="shared" si="24"/>
        <v>0</v>
      </c>
      <c r="T79" s="55">
        <f t="shared" si="25"/>
        <v>426452.02999999997</v>
      </c>
      <c r="U79" s="55">
        <f t="shared" si="29"/>
        <v>0.34999999962747097</v>
      </c>
      <c r="V79" s="55">
        <f t="shared" si="26"/>
        <v>15236183</v>
      </c>
      <c r="W79" s="55">
        <f t="shared" si="27"/>
        <v>14692972.805972602</v>
      </c>
      <c r="X79" s="14">
        <f>SUMPRODUCT((Annee_debut=$A79)*(emprunts!$C$2:$C$149=$C79),fraction_annee_absente)</f>
        <v>1753424.6575342466</v>
      </c>
      <c r="Z79" s="14">
        <f t="shared" si="30"/>
        <v>14692973.155972602</v>
      </c>
      <c r="AA79" s="12">
        <f t="shared" si="28"/>
        <v>1.9143337908139064E-2</v>
      </c>
    </row>
    <row r="80" spans="1:27">
      <c r="A80">
        <v>2006</v>
      </c>
      <c r="B80" s="1" t="s">
        <v>172</v>
      </c>
      <c r="C80" s="17" t="str">
        <f t="shared" si="32"/>
        <v>Rheinboden Hypothekenbank</v>
      </c>
      <c r="D80" s="2">
        <v>1997082.13</v>
      </c>
      <c r="E80" s="14">
        <v>529760.34</v>
      </c>
      <c r="F80" s="14">
        <v>155276.95000000001</v>
      </c>
      <c r="G80" s="14">
        <v>21884.06</v>
      </c>
      <c r="H80" s="14">
        <v>133392.89000000001</v>
      </c>
      <c r="I80" s="14">
        <f t="shared" si="31"/>
        <v>0</v>
      </c>
      <c r="K80" s="12">
        <f t="shared" si="19"/>
        <v>3.1945793782992456E-2</v>
      </c>
      <c r="L80" s="1" t="str">
        <f t="shared" si="20"/>
        <v>2006_0025</v>
      </c>
      <c r="M80" s="14">
        <f t="shared" si="21"/>
        <v>1.1641532182693481E-10</v>
      </c>
      <c r="O80" s="55">
        <f t="shared" si="15"/>
        <v>0</v>
      </c>
      <c r="P80" s="55"/>
      <c r="Q80" s="55">
        <f t="shared" si="22"/>
        <v>0</v>
      </c>
      <c r="R80" s="55">
        <f t="shared" si="23"/>
        <v>0</v>
      </c>
      <c r="S80" s="55">
        <f t="shared" si="24"/>
        <v>0</v>
      </c>
      <c r="T80" s="55">
        <f t="shared" si="25"/>
        <v>0</v>
      </c>
      <c r="U80" s="55">
        <f t="shared" si="29"/>
        <v>529760.34</v>
      </c>
      <c r="V80" s="55">
        <f t="shared" si="26"/>
        <v>0</v>
      </c>
      <c r="W80" s="55">
        <f t="shared" si="27"/>
        <v>0</v>
      </c>
      <c r="X80" s="14">
        <f>SUMPRODUCT((Annee_debut=$A80)*(emprunts!$C$2:$C$149=$C80),fraction_annee_absente)</f>
        <v>0</v>
      </c>
      <c r="Z80" s="14">
        <f t="shared" si="30"/>
        <v>596456.78499999992</v>
      </c>
      <c r="AA80" s="12">
        <f t="shared" si="28"/>
        <v>3.669010153015529E-2</v>
      </c>
    </row>
    <row r="81" spans="1:27">
      <c r="A81">
        <v>2007</v>
      </c>
      <c r="B81" s="1" t="s">
        <v>162</v>
      </c>
      <c r="C81" s="17" t="str">
        <f t="shared" ref="C81:C91" si="33">VLOOKUP(B81,preteurs,2,FALSE)</f>
        <v>CDC</v>
      </c>
      <c r="D81" s="2">
        <v>12351496.689999999</v>
      </c>
      <c r="E81" s="14">
        <v>4376727.34</v>
      </c>
      <c r="F81" s="14">
        <v>1150241.26</v>
      </c>
      <c r="G81" s="14">
        <v>325942.69</v>
      </c>
      <c r="H81" s="14">
        <v>824298.57</v>
      </c>
      <c r="I81" s="14">
        <f t="shared" si="31"/>
        <v>0</v>
      </c>
      <c r="K81" s="12">
        <f t="shared" si="19"/>
        <v>5.8973139452972473E-2</v>
      </c>
      <c r="L81" s="1" t="str">
        <f t="shared" si="20"/>
        <v>2007_0001</v>
      </c>
      <c r="M81" s="14">
        <f t="shared" si="21"/>
        <v>0</v>
      </c>
      <c r="O81" s="55">
        <f t="shared" si="15"/>
        <v>4327770</v>
      </c>
      <c r="P81" s="55"/>
      <c r="Q81" s="55">
        <f t="shared" si="22"/>
        <v>266806.37</v>
      </c>
      <c r="R81" s="55">
        <f t="shared" si="23"/>
        <v>4202437.3899999997</v>
      </c>
      <c r="S81" s="55">
        <f t="shared" si="24"/>
        <v>0</v>
      </c>
      <c r="T81" s="55">
        <f t="shared" si="25"/>
        <v>121875.57</v>
      </c>
      <c r="U81" s="55">
        <f t="shared" si="29"/>
        <v>48957.339999999851</v>
      </c>
      <c r="V81" s="55">
        <f t="shared" si="26"/>
        <v>4327770</v>
      </c>
      <c r="W81" s="55">
        <f t="shared" si="27"/>
        <v>6411375.0273424666</v>
      </c>
      <c r="X81" s="14">
        <f>SUMPRODUCT((Annee_debut=$A81)*(emprunts!$C$2:$C$149=$C81),fraction_annee_absente)</f>
        <v>0</v>
      </c>
      <c r="Z81" s="14">
        <f t="shared" si="30"/>
        <v>4771262.9573424663</v>
      </c>
      <c r="AA81" s="12">
        <f t="shared" si="28"/>
        <v>6.8313713353067004E-2</v>
      </c>
    </row>
    <row r="82" spans="1:27">
      <c r="A82">
        <v>2007</v>
      </c>
      <c r="B82" s="1" t="s">
        <v>163</v>
      </c>
      <c r="C82" s="17" t="str">
        <f t="shared" si="33"/>
        <v>Dexia CL</v>
      </c>
      <c r="D82" s="2">
        <v>226880466.13</v>
      </c>
      <c r="E82" s="14">
        <v>144866583.28</v>
      </c>
      <c r="F82" s="14">
        <v>12133619.050000001</v>
      </c>
      <c r="G82" s="14">
        <v>4831786.0599999996</v>
      </c>
      <c r="H82" s="14">
        <v>7301832.9900000002</v>
      </c>
      <c r="I82" s="14">
        <f t="shared" si="31"/>
        <v>0</v>
      </c>
      <c r="K82" s="12">
        <f t="shared" si="19"/>
        <v>3.0775667727128329E-2</v>
      </c>
      <c r="L82" s="1" t="str">
        <f t="shared" si="20"/>
        <v>2007_0002</v>
      </c>
      <c r="M82" s="14">
        <f t="shared" si="21"/>
        <v>15459339</v>
      </c>
      <c r="O82" s="55">
        <f t="shared" si="15"/>
        <v>145206582.43000001</v>
      </c>
      <c r="P82" s="55"/>
      <c r="Q82" s="55">
        <f t="shared" si="22"/>
        <v>4831786.0200000014</v>
      </c>
      <c r="R82" s="55">
        <f t="shared" si="23"/>
        <v>7301832.9900000002</v>
      </c>
      <c r="S82" s="55">
        <f t="shared" si="24"/>
        <v>0</v>
      </c>
      <c r="T82" s="55">
        <f t="shared" si="25"/>
        <v>2399409.5599999996</v>
      </c>
      <c r="U82" s="55">
        <f t="shared" si="29"/>
        <v>-339999.15000000596</v>
      </c>
      <c r="V82" s="55">
        <f t="shared" si="26"/>
        <v>145206582.43000001</v>
      </c>
      <c r="W82" s="55">
        <f t="shared" si="27"/>
        <v>150090601.34101373</v>
      </c>
      <c r="X82" s="14">
        <f>SUMPRODUCT((Annee_debut=$A82)*(emprunts!$C$2:$C$149=$C82),fraction_annee_absente)</f>
        <v>2783890.4109589038</v>
      </c>
      <c r="Z82" s="14">
        <f t="shared" si="30"/>
        <v>149750602.19101372</v>
      </c>
      <c r="AA82" s="12">
        <f t="shared" si="28"/>
        <v>3.2265553455583677E-2</v>
      </c>
    </row>
    <row r="83" spans="1:27">
      <c r="A83">
        <v>2007</v>
      </c>
      <c r="B83" s="1" t="s">
        <v>164</v>
      </c>
      <c r="C83" s="17" t="str">
        <f t="shared" si="33"/>
        <v>Caisse d'Épargne</v>
      </c>
      <c r="D83" s="2">
        <v>45019756.719999999</v>
      </c>
      <c r="E83" s="14">
        <v>27091649.719999999</v>
      </c>
      <c r="F83" s="14">
        <v>2174226.14</v>
      </c>
      <c r="G83" s="14">
        <v>784705.29</v>
      </c>
      <c r="H83" s="14">
        <v>1389520.85</v>
      </c>
      <c r="I83" s="14">
        <f t="shared" si="31"/>
        <v>0</v>
      </c>
      <c r="K83" s="12">
        <f t="shared" si="19"/>
        <v>2.6812978150861332E-2</v>
      </c>
      <c r="L83" s="1" t="str">
        <f t="shared" si="20"/>
        <v>2007_0003</v>
      </c>
      <c r="M83" s="14">
        <f t="shared" si="21"/>
        <v>0</v>
      </c>
      <c r="O83" s="55">
        <f t="shared" si="15"/>
        <v>27091649</v>
      </c>
      <c r="P83" s="55"/>
      <c r="Q83" s="55">
        <f t="shared" si="22"/>
        <v>784705.29</v>
      </c>
      <c r="R83" s="55">
        <f t="shared" si="23"/>
        <v>1389520.8499999999</v>
      </c>
      <c r="S83" s="55">
        <f t="shared" si="24"/>
        <v>0</v>
      </c>
      <c r="T83" s="55">
        <f t="shared" si="25"/>
        <v>60691.29</v>
      </c>
      <c r="U83" s="55">
        <f t="shared" si="29"/>
        <v>0.7199999988079071</v>
      </c>
      <c r="V83" s="55">
        <f t="shared" si="26"/>
        <v>27091649</v>
      </c>
      <c r="W83" s="55">
        <f t="shared" si="27"/>
        <v>22572905.457041092</v>
      </c>
      <c r="X83" s="14">
        <f>SUMPRODUCT((Annee_debut=$A83)*(emprunts!$C$2:$C$149=$C83),fraction_annee_absente)</f>
        <v>4986301.3698630137</v>
      </c>
      <c r="Z83" s="14">
        <f t="shared" si="30"/>
        <v>22572906.177041091</v>
      </c>
      <c r="AA83" s="12">
        <f t="shared" si="28"/>
        <v>3.4763148521749672E-2</v>
      </c>
    </row>
    <row r="84" spans="1:27">
      <c r="A84">
        <v>2007</v>
      </c>
      <c r="B84" s="1" t="s">
        <v>165</v>
      </c>
      <c r="C84" s="17" t="str">
        <f t="shared" si="33"/>
        <v>Crédit Mutuel</v>
      </c>
      <c r="D84" s="2">
        <v>3942842.28</v>
      </c>
      <c r="E84" s="14">
        <v>2491738.9</v>
      </c>
      <c r="F84" s="14">
        <v>614026.51</v>
      </c>
      <c r="G84" s="14">
        <v>97918.39</v>
      </c>
      <c r="H84" s="14">
        <v>516108.12</v>
      </c>
      <c r="I84" s="14">
        <f t="shared" si="31"/>
        <v>0</v>
      </c>
      <c r="K84" s="12">
        <f t="shared" si="19"/>
        <v>3.1527941448739362E-2</v>
      </c>
      <c r="L84" s="1" t="str">
        <f t="shared" si="20"/>
        <v>2007_0004</v>
      </c>
      <c r="M84" s="14">
        <f t="shared" si="21"/>
        <v>4.6566128730773926E-10</v>
      </c>
      <c r="O84" s="55">
        <f t="shared" si="15"/>
        <v>2491739</v>
      </c>
      <c r="P84" s="55"/>
      <c r="Q84" s="55">
        <f t="shared" si="22"/>
        <v>97918.39</v>
      </c>
      <c r="R84" s="55">
        <f t="shared" si="23"/>
        <v>516108.12</v>
      </c>
      <c r="S84" s="55">
        <f t="shared" si="24"/>
        <v>0</v>
      </c>
      <c r="T84" s="55">
        <f t="shared" si="25"/>
        <v>48311.3</v>
      </c>
      <c r="U84" s="55">
        <f t="shared" si="29"/>
        <v>-0.10000000009313226</v>
      </c>
      <c r="V84" s="55">
        <f t="shared" si="26"/>
        <v>2491739</v>
      </c>
      <c r="W84" s="55">
        <f t="shared" si="27"/>
        <v>2742259.3803835614</v>
      </c>
      <c r="X84" s="14">
        <f>SUMPRODUCT((Annee_debut=$A84)*(emprunts!$C$2:$C$149=$C84),fraction_annee_absente)</f>
        <v>0</v>
      </c>
      <c r="Z84" s="14">
        <f t="shared" si="30"/>
        <v>2742259.2803835613</v>
      </c>
      <c r="AA84" s="12">
        <f t="shared" si="28"/>
        <v>3.5707196143139351E-2</v>
      </c>
    </row>
    <row r="85" spans="1:27">
      <c r="A85">
        <v>2007</v>
      </c>
      <c r="B85" s="1" t="s">
        <v>166</v>
      </c>
      <c r="C85" s="17" t="str">
        <f t="shared" si="33"/>
        <v>Société générale</v>
      </c>
      <c r="D85" s="2">
        <v>23087022.309999999</v>
      </c>
      <c r="E85" s="14">
        <v>9899254.75</v>
      </c>
      <c r="F85" s="14">
        <v>976424.7</v>
      </c>
      <c r="G85" s="14">
        <v>349353.63</v>
      </c>
      <c r="H85" s="14">
        <v>627071.06999999995</v>
      </c>
      <c r="I85" s="14">
        <f t="shared" si="31"/>
        <v>0</v>
      </c>
      <c r="K85" s="12">
        <f t="shared" si="19"/>
        <v>3.2122464771614803E-2</v>
      </c>
      <c r="L85" s="1" t="str">
        <f t="shared" si="20"/>
        <v>2007_0005</v>
      </c>
      <c r="M85" s="14">
        <f t="shared" si="21"/>
        <v>4000000</v>
      </c>
      <c r="N85" t="s">
        <v>703</v>
      </c>
      <c r="O85" s="55">
        <f t="shared" si="15"/>
        <v>13899255</v>
      </c>
      <c r="P85" s="55"/>
      <c r="Q85" s="55">
        <f t="shared" si="22"/>
        <v>315984.55</v>
      </c>
      <c r="R85" s="55">
        <f t="shared" si="23"/>
        <v>100745.25</v>
      </c>
      <c r="S85" s="55">
        <f t="shared" si="24"/>
        <v>0</v>
      </c>
      <c r="T85" s="55">
        <f t="shared" si="25"/>
        <v>12993.87</v>
      </c>
      <c r="U85" s="55">
        <f t="shared" si="29"/>
        <v>-4000000.25</v>
      </c>
      <c r="V85" s="55">
        <f t="shared" si="26"/>
        <v>13899255</v>
      </c>
      <c r="W85" s="55">
        <f t="shared" si="27"/>
        <v>12381961.955821918</v>
      </c>
      <c r="X85" s="14">
        <f>SUMPRODUCT((Annee_debut=$A85)*(emprunts!$C$2:$C$149=$C85),fraction_annee_absente)</f>
        <v>1567123.2876712328</v>
      </c>
      <c r="Z85" s="14">
        <f t="shared" si="30"/>
        <v>8645124.6158219185</v>
      </c>
      <c r="AA85" s="12">
        <f t="shared" si="28"/>
        <v>4.0410479377084828E-2</v>
      </c>
    </row>
    <row r="86" spans="1:27">
      <c r="A86">
        <v>2007</v>
      </c>
      <c r="B86" s="1" t="s">
        <v>167</v>
      </c>
      <c r="C86" s="17" t="str">
        <f t="shared" si="33"/>
        <v>Crédit Foncier</v>
      </c>
      <c r="D86" s="2">
        <v>0</v>
      </c>
      <c r="E86" s="14">
        <v>0</v>
      </c>
      <c r="F86" s="14">
        <v>0</v>
      </c>
      <c r="G86" s="14">
        <v>0</v>
      </c>
      <c r="H86" s="14">
        <v>0</v>
      </c>
      <c r="I86" s="14">
        <f t="shared" si="31"/>
        <v>0</v>
      </c>
      <c r="K86" s="12" t="str">
        <f t="shared" si="19"/>
        <v/>
      </c>
      <c r="L86" s="1" t="str">
        <f t="shared" si="20"/>
        <v>2007_0014</v>
      </c>
      <c r="M86" s="14" t="str">
        <f t="shared" si="21"/>
        <v/>
      </c>
      <c r="O86" s="55">
        <f t="shared" si="15"/>
        <v>0</v>
      </c>
      <c r="P86" s="55"/>
      <c r="Q86" s="55">
        <f t="shared" si="22"/>
        <v>0</v>
      </c>
      <c r="R86" s="55">
        <f t="shared" si="23"/>
        <v>0</v>
      </c>
      <c r="S86" s="55">
        <f t="shared" si="24"/>
        <v>0</v>
      </c>
      <c r="T86" s="55">
        <f t="shared" si="25"/>
        <v>0</v>
      </c>
      <c r="U86" s="55">
        <f t="shared" si="29"/>
        <v>0</v>
      </c>
      <c r="V86" s="55">
        <f t="shared" si="26"/>
        <v>0</v>
      </c>
      <c r="W86" s="55">
        <f t="shared" si="27"/>
        <v>0</v>
      </c>
      <c r="X86" s="14">
        <f>SUMPRODUCT((Annee_debut=$A86)*(emprunts!$C$2:$C$149=$C86),fraction_annee_absente)</f>
        <v>0</v>
      </c>
      <c r="Z86" s="14">
        <f t="shared" si="30"/>
        <v>0</v>
      </c>
      <c r="AA86" s="12" t="e">
        <f t="shared" si="28"/>
        <v>#DIV/0!</v>
      </c>
    </row>
    <row r="87" spans="1:27">
      <c r="A87">
        <v>2007</v>
      </c>
      <c r="B87" s="1" t="s">
        <v>168</v>
      </c>
      <c r="C87" s="17" t="str">
        <f t="shared" si="33"/>
        <v>Auxifip CEPME</v>
      </c>
      <c r="D87" s="2">
        <v>4329552.08</v>
      </c>
      <c r="E87" s="14">
        <v>585267.07999999996</v>
      </c>
      <c r="F87" s="14">
        <v>531340.13</v>
      </c>
      <c r="G87" s="14">
        <v>74615.47</v>
      </c>
      <c r="H87" s="14">
        <v>456724.66</v>
      </c>
      <c r="I87" s="14">
        <f t="shared" si="31"/>
        <v>0</v>
      </c>
      <c r="K87" s="12">
        <f t="shared" si="19"/>
        <v>6.6823381876604582E-2</v>
      </c>
      <c r="L87" s="1" t="str">
        <f t="shared" si="20"/>
        <v>2007_0015</v>
      </c>
      <c r="M87" s="14">
        <f t="shared" si="21"/>
        <v>0</v>
      </c>
      <c r="O87" s="55">
        <f t="shared" si="15"/>
        <v>0</v>
      </c>
      <c r="P87" s="55"/>
      <c r="Q87" s="55">
        <f t="shared" si="22"/>
        <v>0</v>
      </c>
      <c r="R87" s="55">
        <f t="shared" si="23"/>
        <v>0</v>
      </c>
      <c r="S87" s="55">
        <f t="shared" si="24"/>
        <v>0</v>
      </c>
      <c r="T87" s="55">
        <f t="shared" si="25"/>
        <v>0</v>
      </c>
      <c r="U87" s="55">
        <f t="shared" si="29"/>
        <v>585267.07999999996</v>
      </c>
      <c r="V87" s="55">
        <f t="shared" si="26"/>
        <v>0</v>
      </c>
      <c r="W87" s="55">
        <f t="shared" si="27"/>
        <v>0</v>
      </c>
      <c r="X87" s="14">
        <f>SUMPRODUCT((Annee_debut=$A87)*(emprunts!$C$2:$C$149=$C87),fraction_annee_absente)</f>
        <v>0</v>
      </c>
      <c r="Z87" s="14">
        <f t="shared" si="30"/>
        <v>813629.40999999992</v>
      </c>
      <c r="AA87" s="12">
        <f t="shared" si="28"/>
        <v>9.1706948007201472E-2</v>
      </c>
    </row>
    <row r="88" spans="1:27">
      <c r="A88">
        <v>2007</v>
      </c>
      <c r="B88" s="1" t="s">
        <v>169</v>
      </c>
      <c r="C88" s="17" t="str">
        <f t="shared" si="33"/>
        <v>Natixis</v>
      </c>
      <c r="D88" s="2">
        <v>0</v>
      </c>
      <c r="E88" s="14">
        <v>0</v>
      </c>
      <c r="F88" s="14">
        <v>0</v>
      </c>
      <c r="G88" s="14">
        <v>0</v>
      </c>
      <c r="H88" s="14">
        <v>0</v>
      </c>
      <c r="I88" s="14">
        <f t="shared" si="31"/>
        <v>0</v>
      </c>
      <c r="K88" s="12" t="str">
        <f t="shared" si="19"/>
        <v/>
      </c>
      <c r="L88" s="1" t="str">
        <f t="shared" si="20"/>
        <v>2007_0016</v>
      </c>
      <c r="M88" s="14" t="str">
        <f t="shared" si="21"/>
        <v/>
      </c>
      <c r="O88" s="55">
        <f t="shared" si="15"/>
        <v>0</v>
      </c>
      <c r="P88" s="55"/>
      <c r="Q88" s="55">
        <f t="shared" si="22"/>
        <v>0</v>
      </c>
      <c r="R88" s="55">
        <f t="shared" si="23"/>
        <v>0</v>
      </c>
      <c r="S88" s="55">
        <f t="shared" si="24"/>
        <v>0</v>
      </c>
      <c r="T88" s="55">
        <f t="shared" si="25"/>
        <v>0</v>
      </c>
      <c r="U88" s="55">
        <f t="shared" si="29"/>
        <v>0</v>
      </c>
      <c r="V88" s="55">
        <f t="shared" si="26"/>
        <v>0</v>
      </c>
      <c r="W88" s="55">
        <f t="shared" si="27"/>
        <v>0</v>
      </c>
      <c r="X88" s="14">
        <f>SUMPRODUCT((Annee_debut=$A88)*(emprunts!$C$2:$C$149=$C88),fraction_annee_absente)</f>
        <v>0</v>
      </c>
      <c r="Z88" s="14">
        <f t="shared" si="30"/>
        <v>0</v>
      </c>
      <c r="AA88" s="12" t="e">
        <f t="shared" si="28"/>
        <v>#DIV/0!</v>
      </c>
    </row>
    <row r="89" spans="1:27">
      <c r="A89">
        <v>2007</v>
      </c>
      <c r="B89" s="1" t="s">
        <v>171</v>
      </c>
      <c r="C89" s="17" t="str">
        <f t="shared" si="33"/>
        <v>Deutsche Hypothekenbank</v>
      </c>
      <c r="D89" s="2">
        <v>0</v>
      </c>
      <c r="E89" s="14">
        <v>0</v>
      </c>
      <c r="F89" s="14">
        <v>0</v>
      </c>
      <c r="G89" s="14">
        <v>0</v>
      </c>
      <c r="H89" s="14">
        <v>0</v>
      </c>
      <c r="I89" s="14">
        <f t="shared" si="31"/>
        <v>0</v>
      </c>
      <c r="K89" s="12" t="str">
        <f t="shared" si="19"/>
        <v/>
      </c>
      <c r="L89" s="1" t="str">
        <f t="shared" si="20"/>
        <v>2007_0022</v>
      </c>
      <c r="M89" s="14" t="str">
        <f t="shared" si="21"/>
        <v/>
      </c>
      <c r="O89" s="55">
        <f t="shared" si="15"/>
        <v>0</v>
      </c>
      <c r="P89" s="55"/>
      <c r="Q89" s="55">
        <f t="shared" si="22"/>
        <v>0</v>
      </c>
      <c r="R89" s="55">
        <f t="shared" si="23"/>
        <v>0</v>
      </c>
      <c r="S89" s="55">
        <f t="shared" si="24"/>
        <v>0</v>
      </c>
      <c r="T89" s="55">
        <f t="shared" si="25"/>
        <v>0</v>
      </c>
      <c r="U89" s="55">
        <f t="shared" si="29"/>
        <v>0</v>
      </c>
      <c r="V89" s="55">
        <f t="shared" si="26"/>
        <v>0</v>
      </c>
      <c r="W89" s="55">
        <f t="shared" si="27"/>
        <v>0</v>
      </c>
      <c r="X89" s="14">
        <f>SUMPRODUCT((Annee_debut=$A89)*(emprunts!$C$2:$C$149=$C89),fraction_annee_absente)</f>
        <v>0</v>
      </c>
      <c r="Z89" s="14">
        <f t="shared" si="30"/>
        <v>0</v>
      </c>
      <c r="AA89" s="12" t="e">
        <f t="shared" si="28"/>
        <v>#DIV/0!</v>
      </c>
    </row>
    <row r="90" spans="1:27">
      <c r="A90">
        <v>2007</v>
      </c>
      <c r="B90" s="1" t="s">
        <v>173</v>
      </c>
      <c r="C90" s="17" t="str">
        <f t="shared" si="33"/>
        <v>Crédit Agricole</v>
      </c>
      <c r="D90" s="2">
        <v>23097112.84</v>
      </c>
      <c r="E90" s="14">
        <v>19200453.539999999</v>
      </c>
      <c r="F90" s="14">
        <v>1742078.89</v>
      </c>
      <c r="G90" s="14">
        <v>706349.08</v>
      </c>
      <c r="H90" s="14">
        <v>1035729.81</v>
      </c>
      <c r="I90" s="14">
        <f t="shared" si="31"/>
        <v>0</v>
      </c>
      <c r="K90" s="12">
        <f t="shared" si="19"/>
        <v>3.3727968781280766E-2</v>
      </c>
      <c r="L90" s="1" t="str">
        <f t="shared" si="20"/>
        <v>2007_0023</v>
      </c>
      <c r="M90" s="14">
        <f t="shared" si="21"/>
        <v>3.7252902984619141E-9</v>
      </c>
      <c r="O90" s="55">
        <f t="shared" si="15"/>
        <v>19200454</v>
      </c>
      <c r="P90" s="55"/>
      <c r="Q90" s="55">
        <f t="shared" si="22"/>
        <v>706349.08</v>
      </c>
      <c r="R90" s="55">
        <f t="shared" si="23"/>
        <v>1035729.81</v>
      </c>
      <c r="S90" s="55">
        <f t="shared" si="24"/>
        <v>0</v>
      </c>
      <c r="T90" s="55">
        <f t="shared" si="25"/>
        <v>415471.41</v>
      </c>
      <c r="U90" s="55">
        <f t="shared" si="29"/>
        <v>-0.46000000089406967</v>
      </c>
      <c r="V90" s="55">
        <f t="shared" si="26"/>
        <v>19200454</v>
      </c>
      <c r="W90" s="55">
        <f t="shared" si="27"/>
        <v>18308131.729917809</v>
      </c>
      <c r="X90" s="14">
        <f>SUMPRODUCT((Annee_debut=$A90)*(emprunts!$C$2:$C$149=$C90),fraction_annee_absente)</f>
        <v>1356164.3835616438</v>
      </c>
      <c r="Z90" s="14">
        <f t="shared" si="30"/>
        <v>18308131.269917808</v>
      </c>
      <c r="AA90" s="12">
        <f t="shared" si="28"/>
        <v>3.8581167547154634E-2</v>
      </c>
    </row>
    <row r="91" spans="1:27">
      <c r="A91">
        <v>2007</v>
      </c>
      <c r="B91" s="1" t="s">
        <v>172</v>
      </c>
      <c r="C91" s="17" t="str">
        <f t="shared" si="33"/>
        <v>Rheinboden Hypothekenbank</v>
      </c>
      <c r="D91" s="2">
        <v>1997082.13</v>
      </c>
      <c r="E91" s="14">
        <v>396367.45</v>
      </c>
      <c r="F91" s="14">
        <v>150874.98000000001</v>
      </c>
      <c r="G91" s="14">
        <v>17482.09</v>
      </c>
      <c r="H91" s="14">
        <v>133392.89000000001</v>
      </c>
      <c r="I91" s="14">
        <f t="shared" si="31"/>
        <v>0</v>
      </c>
      <c r="K91" s="12">
        <f t="shared" si="19"/>
        <v>3.1945786806041335E-2</v>
      </c>
      <c r="L91" s="1" t="str">
        <f t="shared" si="20"/>
        <v>2007_0025</v>
      </c>
      <c r="M91" s="14">
        <f t="shared" si="21"/>
        <v>0</v>
      </c>
      <c r="O91" s="55">
        <f t="shared" si="15"/>
        <v>0</v>
      </c>
      <c r="P91" s="55"/>
      <c r="Q91" s="55">
        <f t="shared" si="22"/>
        <v>0</v>
      </c>
      <c r="R91" s="55">
        <f t="shared" si="23"/>
        <v>0</v>
      </c>
      <c r="S91" s="55">
        <f t="shared" si="24"/>
        <v>0</v>
      </c>
      <c r="T91" s="55">
        <f t="shared" si="25"/>
        <v>0</v>
      </c>
      <c r="U91" s="55">
        <f t="shared" si="29"/>
        <v>396367.45</v>
      </c>
      <c r="V91" s="55">
        <f t="shared" si="26"/>
        <v>0</v>
      </c>
      <c r="W91" s="55">
        <f t="shared" si="27"/>
        <v>0</v>
      </c>
      <c r="X91" s="14">
        <f>SUMPRODUCT((Annee_debut=$A91)*(emprunts!$C$2:$C$149=$C91),fraction_annee_absente)</f>
        <v>0</v>
      </c>
      <c r="Z91" s="14">
        <f t="shared" si="30"/>
        <v>463063.89500000002</v>
      </c>
      <c r="AA91" s="12">
        <f t="shared" si="28"/>
        <v>3.7753083729406285E-2</v>
      </c>
    </row>
    <row r="92" spans="1:27">
      <c r="A92">
        <v>2008</v>
      </c>
      <c r="B92" s="1" t="s">
        <v>162</v>
      </c>
      <c r="C92" s="17" t="str">
        <f t="shared" ref="C92:C102" si="34">VLOOKUP(B92,preteurs,2,FALSE)</f>
        <v>CDC</v>
      </c>
      <c r="D92" s="2">
        <v>5810598.9900000002</v>
      </c>
      <c r="E92" s="14">
        <v>3847101.96</v>
      </c>
      <c r="F92" s="14">
        <v>697299.08</v>
      </c>
      <c r="G92" s="14">
        <v>167673.70000000001</v>
      </c>
      <c r="H92" s="14">
        <v>529625.38</v>
      </c>
      <c r="I92" s="14">
        <f t="shared" si="31"/>
        <v>0</v>
      </c>
      <c r="K92" s="12">
        <f t="shared" si="19"/>
        <v>3.6896765607641005E-2</v>
      </c>
      <c r="L92" s="1" t="str">
        <f t="shared" si="20"/>
        <v>2008_0001</v>
      </c>
      <c r="M92" s="14">
        <f t="shared" si="21"/>
        <v>0</v>
      </c>
      <c r="O92" s="55">
        <f t="shared" si="15"/>
        <v>3822074</v>
      </c>
      <c r="P92" s="55"/>
      <c r="Q92" s="55">
        <f t="shared" si="22"/>
        <v>165593.01999999999</v>
      </c>
      <c r="R92" s="55">
        <f t="shared" si="23"/>
        <v>505696.43000000005</v>
      </c>
      <c r="S92" s="55">
        <f t="shared" si="24"/>
        <v>0</v>
      </c>
      <c r="T92" s="55">
        <f t="shared" si="25"/>
        <v>127861.95</v>
      </c>
      <c r="U92" s="55">
        <f t="shared" si="29"/>
        <v>25027.959999999963</v>
      </c>
      <c r="V92" s="55">
        <f t="shared" si="26"/>
        <v>3822074</v>
      </c>
      <c r="W92" s="55">
        <f t="shared" si="27"/>
        <v>4074922.2149999999</v>
      </c>
      <c r="X92" s="14">
        <f>SUMPRODUCT((Annee_debut=$A92)*(emprunts!$C$2:$C$149=$C92),fraction_annee_absente)</f>
        <v>0</v>
      </c>
      <c r="Z92" s="14">
        <f t="shared" si="30"/>
        <v>4111914.65</v>
      </c>
      <c r="AA92" s="12">
        <f t="shared" si="28"/>
        <v>4.0777524407030197E-2</v>
      </c>
    </row>
    <row r="93" spans="1:27">
      <c r="A93">
        <v>2008</v>
      </c>
      <c r="B93" s="1" t="s">
        <v>163</v>
      </c>
      <c r="C93" s="17" t="str">
        <f t="shared" si="34"/>
        <v>Dexia CL</v>
      </c>
      <c r="D93" s="2">
        <v>241059064.56</v>
      </c>
      <c r="E93" s="14">
        <v>152229401.27000001</v>
      </c>
      <c r="F93" s="14">
        <v>12807358.779999999</v>
      </c>
      <c r="G93" s="14">
        <v>4710837.7699999996</v>
      </c>
      <c r="H93" s="14">
        <v>8096521.0099999998</v>
      </c>
      <c r="I93" s="14">
        <f t="shared" si="31"/>
        <v>0</v>
      </c>
      <c r="K93" s="12">
        <f t="shared" si="19"/>
        <v>2.8544172635071061E-2</v>
      </c>
      <c r="L93" s="1" t="str">
        <f t="shared" si="20"/>
        <v>2008_0002</v>
      </c>
      <c r="M93" s="14">
        <f t="shared" si="21"/>
        <v>5712582</v>
      </c>
      <c r="O93" s="55">
        <f t="shared" si="15"/>
        <v>152229400.67000002</v>
      </c>
      <c r="P93" s="55"/>
      <c r="Q93" s="55">
        <f t="shared" si="22"/>
        <v>4710837.7699999996</v>
      </c>
      <c r="R93" s="55">
        <f t="shared" si="23"/>
        <v>8096521.0099999988</v>
      </c>
      <c r="S93" s="55">
        <f t="shared" si="24"/>
        <v>0</v>
      </c>
      <c r="T93" s="55">
        <f t="shared" si="25"/>
        <v>1313657.7800000003</v>
      </c>
      <c r="U93" s="55">
        <f t="shared" si="29"/>
        <v>0.59999999403953552</v>
      </c>
      <c r="V93" s="55">
        <f t="shared" si="26"/>
        <v>152229400.67000002</v>
      </c>
      <c r="W93" s="55">
        <f t="shared" si="27"/>
        <v>162274848.26264381</v>
      </c>
      <c r="X93" s="14">
        <f>SUMPRODUCT((Annee_debut=$A93)*(emprunts!$C$2:$C$149=$C93),fraction_annee_absente)</f>
        <v>4509589.0410958901</v>
      </c>
      <c r="Z93" s="14">
        <f t="shared" si="30"/>
        <v>162274848.86264381</v>
      </c>
      <c r="AA93" s="12">
        <f t="shared" si="28"/>
        <v>2.9029993267702555E-2</v>
      </c>
    </row>
    <row r="94" spans="1:27">
      <c r="A94">
        <v>2008</v>
      </c>
      <c r="B94" s="1" t="s">
        <v>164</v>
      </c>
      <c r="C94" s="17" t="str">
        <f t="shared" si="34"/>
        <v>Caisse d'Épargne</v>
      </c>
      <c r="D94" s="2">
        <v>29324933</v>
      </c>
      <c r="E94" s="14">
        <v>25678257.199999999</v>
      </c>
      <c r="F94" s="14">
        <v>1915453.88</v>
      </c>
      <c r="G94" s="14">
        <v>502061.36</v>
      </c>
      <c r="H94" s="14">
        <v>1413392.52</v>
      </c>
      <c r="I94" s="14">
        <f t="shared" si="31"/>
        <v>0</v>
      </c>
      <c r="K94" s="12">
        <f t="shared" si="19"/>
        <v>1.8194774836353764E-2</v>
      </c>
      <c r="L94" s="1" t="str">
        <f t="shared" si="20"/>
        <v>2008_0003</v>
      </c>
      <c r="M94" s="14">
        <f t="shared" si="21"/>
        <v>-2.9999997466802597E-2</v>
      </c>
      <c r="O94" s="55">
        <f t="shared" si="15"/>
        <v>25678258</v>
      </c>
      <c r="P94" s="55"/>
      <c r="Q94" s="55">
        <f t="shared" si="22"/>
        <v>502061.36</v>
      </c>
      <c r="R94" s="55">
        <f t="shared" si="23"/>
        <v>1413392.52</v>
      </c>
      <c r="S94" s="55">
        <f t="shared" si="24"/>
        <v>0</v>
      </c>
      <c r="T94" s="55">
        <f t="shared" si="25"/>
        <v>49656.46</v>
      </c>
      <c r="U94" s="55">
        <f t="shared" si="29"/>
        <v>-0.80000000074505806</v>
      </c>
      <c r="V94" s="55">
        <f t="shared" si="26"/>
        <v>25678258</v>
      </c>
      <c r="W94" s="55">
        <f t="shared" si="27"/>
        <v>26384954.260000002</v>
      </c>
      <c r="X94" s="14">
        <f>SUMPRODUCT((Annee_debut=$A94)*(emprunts!$C$2:$C$149=$C94),fraction_annee_absente)</f>
        <v>0</v>
      </c>
      <c r="Z94" s="14">
        <f t="shared" si="30"/>
        <v>26384953.460000001</v>
      </c>
      <c r="AA94" s="12">
        <f t="shared" si="28"/>
        <v>1.902832084813539E-2</v>
      </c>
    </row>
    <row r="95" spans="1:27">
      <c r="A95">
        <v>2008</v>
      </c>
      <c r="B95" s="1" t="s">
        <v>165</v>
      </c>
      <c r="C95" s="17" t="str">
        <f t="shared" si="34"/>
        <v>Crédit Mutuel</v>
      </c>
      <c r="D95" s="2">
        <v>3942842.28</v>
      </c>
      <c r="E95" s="14">
        <v>1961039.37</v>
      </c>
      <c r="F95" s="14">
        <v>612369.27</v>
      </c>
      <c r="G95" s="14">
        <v>81669.740000000005</v>
      </c>
      <c r="H95" s="14">
        <v>530699.53</v>
      </c>
      <c r="I95" s="14">
        <f t="shared" si="31"/>
        <v>0</v>
      </c>
      <c r="K95" s="12">
        <f t="shared" si="19"/>
        <v>3.1736016865164487E-2</v>
      </c>
      <c r="L95" s="1" t="str">
        <f t="shared" si="20"/>
        <v>2008_0004</v>
      </c>
      <c r="M95" s="14">
        <f t="shared" si="21"/>
        <v>0</v>
      </c>
      <c r="O95" s="55">
        <f t="shared" si="15"/>
        <v>1961039</v>
      </c>
      <c r="P95" s="55"/>
      <c r="Q95" s="55">
        <f t="shared" si="22"/>
        <v>81669.739999999991</v>
      </c>
      <c r="R95" s="55">
        <f t="shared" si="23"/>
        <v>530699.53</v>
      </c>
      <c r="S95" s="55">
        <f t="shared" si="24"/>
        <v>0</v>
      </c>
      <c r="T95" s="55">
        <f t="shared" si="25"/>
        <v>37060.18</v>
      </c>
      <c r="U95" s="55">
        <f t="shared" si="29"/>
        <v>0.37000000011175871</v>
      </c>
      <c r="V95" s="55">
        <f t="shared" si="26"/>
        <v>1961039</v>
      </c>
      <c r="W95" s="55">
        <f t="shared" si="27"/>
        <v>2226388.7650000001</v>
      </c>
      <c r="X95" s="14">
        <f>SUMPRODUCT((Annee_debut=$A95)*(emprunts!$C$2:$C$149=$C95),fraction_annee_absente)</f>
        <v>0</v>
      </c>
      <c r="Z95" s="14">
        <f t="shared" si="30"/>
        <v>2226389.1350000002</v>
      </c>
      <c r="AA95" s="12">
        <f t="shared" si="28"/>
        <v>3.6682599064156857E-2</v>
      </c>
    </row>
    <row r="96" spans="1:27">
      <c r="A96">
        <v>2008</v>
      </c>
      <c r="B96" s="1" t="s">
        <v>166</v>
      </c>
      <c r="C96" s="17" t="str">
        <f t="shared" si="34"/>
        <v>Société générale</v>
      </c>
      <c r="D96" s="2">
        <v>14000000</v>
      </c>
      <c r="E96" s="14">
        <v>13559407.439999999</v>
      </c>
      <c r="F96" s="14">
        <v>696260.45</v>
      </c>
      <c r="G96" s="14">
        <v>356413.14</v>
      </c>
      <c r="H96" s="14">
        <v>339847.31</v>
      </c>
      <c r="I96" s="14">
        <f t="shared" si="31"/>
        <v>0</v>
      </c>
      <c r="K96" s="12">
        <f t="shared" si="19"/>
        <v>2.5001504156112887E-2</v>
      </c>
      <c r="L96" s="1" t="str">
        <f t="shared" si="20"/>
        <v>2008_0005</v>
      </c>
      <c r="M96" s="14">
        <f t="shared" si="21"/>
        <v>0</v>
      </c>
      <c r="O96" s="55">
        <f t="shared" si="15"/>
        <v>13559408</v>
      </c>
      <c r="P96" s="55"/>
      <c r="Q96" s="55">
        <f t="shared" si="22"/>
        <v>356413.14</v>
      </c>
      <c r="R96" s="55">
        <f t="shared" si="23"/>
        <v>339847.31</v>
      </c>
      <c r="S96" s="55">
        <f t="shared" si="24"/>
        <v>0</v>
      </c>
      <c r="T96" s="55">
        <f t="shared" si="25"/>
        <v>95900</v>
      </c>
      <c r="U96" s="55">
        <f t="shared" si="29"/>
        <v>-0.56000000052154064</v>
      </c>
      <c r="V96" s="55">
        <f t="shared" si="26"/>
        <v>13559408</v>
      </c>
      <c r="W96" s="55">
        <f t="shared" si="27"/>
        <v>13729331.654999999</v>
      </c>
      <c r="X96" s="14">
        <f>SUMPRODUCT((Annee_debut=$A96)*(emprunts!$C$2:$C$149=$C96),fraction_annee_absente)</f>
        <v>0</v>
      </c>
      <c r="Z96" s="14">
        <f t="shared" si="30"/>
        <v>13729331.094999999</v>
      </c>
      <c r="AA96" s="12">
        <f t="shared" si="28"/>
        <v>2.5959978496679997E-2</v>
      </c>
    </row>
    <row r="97" spans="1:27">
      <c r="A97">
        <v>2008</v>
      </c>
      <c r="B97" s="1" t="s">
        <v>167</v>
      </c>
      <c r="C97" s="17" t="str">
        <f t="shared" si="34"/>
        <v>Crédit Foncier</v>
      </c>
      <c r="D97" s="2">
        <v>0</v>
      </c>
      <c r="E97" s="14">
        <v>0</v>
      </c>
      <c r="F97" s="14">
        <v>0</v>
      </c>
      <c r="G97" s="14">
        <v>0</v>
      </c>
      <c r="H97" s="14">
        <v>0</v>
      </c>
      <c r="I97" s="14">
        <f t="shared" si="31"/>
        <v>0</v>
      </c>
      <c r="K97" s="12" t="str">
        <f t="shared" si="19"/>
        <v/>
      </c>
      <c r="L97" s="1" t="str">
        <f t="shared" si="20"/>
        <v>2008_0014</v>
      </c>
      <c r="M97" s="14" t="str">
        <f t="shared" si="21"/>
        <v/>
      </c>
      <c r="O97" s="55">
        <f t="shared" si="15"/>
        <v>0</v>
      </c>
      <c r="P97" s="55"/>
      <c r="Q97" s="55">
        <f t="shared" si="22"/>
        <v>0</v>
      </c>
      <c r="R97" s="55">
        <f t="shared" si="23"/>
        <v>0</v>
      </c>
      <c r="S97" s="55">
        <f t="shared" si="24"/>
        <v>0</v>
      </c>
      <c r="T97" s="55">
        <f t="shared" si="25"/>
        <v>0</v>
      </c>
      <c r="U97" s="55">
        <f t="shared" si="29"/>
        <v>0</v>
      </c>
      <c r="V97" s="55">
        <f t="shared" si="26"/>
        <v>0</v>
      </c>
      <c r="W97" s="55">
        <f t="shared" si="27"/>
        <v>0</v>
      </c>
      <c r="X97" s="14">
        <f>SUMPRODUCT((Annee_debut=$A97)*(emprunts!$C$2:$C$149=$C97),fraction_annee_absente)</f>
        <v>0</v>
      </c>
      <c r="Z97" s="14">
        <f t="shared" si="30"/>
        <v>0</v>
      </c>
      <c r="AA97" s="12" t="e">
        <f t="shared" si="28"/>
        <v>#DIV/0!</v>
      </c>
    </row>
    <row r="98" spans="1:27">
      <c r="A98">
        <v>2008</v>
      </c>
      <c r="B98" s="1" t="s">
        <v>168</v>
      </c>
      <c r="C98" s="17" t="str">
        <f t="shared" si="34"/>
        <v>Auxifip CEPME</v>
      </c>
      <c r="D98" s="2">
        <v>4329552.08</v>
      </c>
      <c r="E98" s="14">
        <v>93616.59</v>
      </c>
      <c r="F98" s="14">
        <v>531340.11</v>
      </c>
      <c r="G98" s="14">
        <v>39689.620000000003</v>
      </c>
      <c r="H98" s="14">
        <v>491650.49</v>
      </c>
      <c r="I98" s="14">
        <f t="shared" si="31"/>
        <v>0</v>
      </c>
      <c r="K98" s="12">
        <f t="shared" si="19"/>
        <v>6.3507791819817291E-2</v>
      </c>
      <c r="L98" s="1" t="str">
        <f t="shared" si="20"/>
        <v>2008_0015</v>
      </c>
      <c r="M98" s="14">
        <f t="shared" si="21"/>
        <v>-9.9999999947613105E-3</v>
      </c>
      <c r="O98" s="55">
        <f t="shared" ref="O98:O113" si="35">SUMPRODUCT((annee=$A98)*(preteur=$C98),encours)</f>
        <v>0</v>
      </c>
      <c r="P98" s="55"/>
      <c r="Q98" s="55">
        <f t="shared" si="22"/>
        <v>0</v>
      </c>
      <c r="R98" s="55">
        <f t="shared" si="23"/>
        <v>0</v>
      </c>
      <c r="S98" s="55">
        <f t="shared" si="24"/>
        <v>0</v>
      </c>
      <c r="T98" s="55">
        <f t="shared" si="25"/>
        <v>0</v>
      </c>
      <c r="U98" s="55">
        <f t="shared" si="29"/>
        <v>93616.59</v>
      </c>
      <c r="V98" s="55">
        <f t="shared" si="26"/>
        <v>0</v>
      </c>
      <c r="W98" s="55">
        <f t="shared" si="27"/>
        <v>0</v>
      </c>
      <c r="X98" s="14">
        <f>SUMPRODUCT((Annee_debut=$A98)*(emprunts!$C$2:$C$149=$C98),fraction_annee_absente)</f>
        <v>0</v>
      </c>
      <c r="Z98" s="14">
        <f t="shared" si="30"/>
        <v>339441.83499999996</v>
      </c>
      <c r="AA98" s="12">
        <f t="shared" si="28"/>
        <v>0.11692612962689176</v>
      </c>
    </row>
    <row r="99" spans="1:27">
      <c r="A99">
        <v>2008</v>
      </c>
      <c r="B99" s="1" t="s">
        <v>169</v>
      </c>
      <c r="C99" s="17" t="str">
        <f t="shared" si="34"/>
        <v>Natixis</v>
      </c>
      <c r="D99" s="2">
        <v>0</v>
      </c>
      <c r="E99" s="14">
        <v>0</v>
      </c>
      <c r="F99" s="14">
        <v>0</v>
      </c>
      <c r="G99" s="14">
        <v>0</v>
      </c>
      <c r="H99" s="14">
        <v>0</v>
      </c>
      <c r="I99" s="14">
        <f t="shared" si="31"/>
        <v>0</v>
      </c>
      <c r="K99" s="12" t="str">
        <f t="shared" si="19"/>
        <v/>
      </c>
      <c r="L99" s="1" t="str">
        <f t="shared" si="20"/>
        <v>2008_0016</v>
      </c>
      <c r="M99" s="14" t="str">
        <f t="shared" si="21"/>
        <v/>
      </c>
      <c r="O99" s="55">
        <f t="shared" si="35"/>
        <v>0</v>
      </c>
      <c r="P99" s="55"/>
      <c r="Q99" s="55">
        <f t="shared" si="22"/>
        <v>0</v>
      </c>
      <c r="R99" s="55">
        <f t="shared" si="23"/>
        <v>0</v>
      </c>
      <c r="S99" s="55">
        <f t="shared" si="24"/>
        <v>0</v>
      </c>
      <c r="T99" s="55">
        <f t="shared" si="25"/>
        <v>0</v>
      </c>
      <c r="U99" s="55">
        <f t="shared" si="29"/>
        <v>0</v>
      </c>
      <c r="V99" s="55">
        <f t="shared" si="26"/>
        <v>0</v>
      </c>
      <c r="W99" s="55">
        <f t="shared" si="27"/>
        <v>0</v>
      </c>
      <c r="X99" s="14">
        <f>SUMPRODUCT((Annee_debut=$A99)*(emprunts!$C$2:$C$149=$C99),fraction_annee_absente)</f>
        <v>0</v>
      </c>
      <c r="Z99" s="14">
        <f t="shared" ref="Z99:Z130" si="36">W99+(U99+(H99-R99)/2)</f>
        <v>0</v>
      </c>
      <c r="AA99" s="12" t="e">
        <f t="shared" si="28"/>
        <v>#DIV/0!</v>
      </c>
    </row>
    <row r="100" spans="1:27">
      <c r="A100">
        <v>2008</v>
      </c>
      <c r="B100" s="1" t="s">
        <v>171</v>
      </c>
      <c r="C100" s="17" t="str">
        <f t="shared" si="34"/>
        <v>Deutsche Hypothekenbank</v>
      </c>
      <c r="D100" s="2">
        <v>0</v>
      </c>
      <c r="E100" s="14">
        <v>0</v>
      </c>
      <c r="F100" s="14">
        <v>0</v>
      </c>
      <c r="G100" s="14">
        <v>0</v>
      </c>
      <c r="H100" s="14">
        <v>0</v>
      </c>
      <c r="I100" s="14">
        <f t="shared" ref="I100:I131" si="37">F100-SUM(G100:H100)</f>
        <v>0</v>
      </c>
      <c r="K100" s="12" t="str">
        <f t="shared" si="19"/>
        <v/>
      </c>
      <c r="L100" s="1" t="str">
        <f t="shared" si="20"/>
        <v>2008_0022</v>
      </c>
      <c r="M100" s="14" t="str">
        <f t="shared" si="21"/>
        <v/>
      </c>
      <c r="O100" s="55">
        <f t="shared" si="35"/>
        <v>0</v>
      </c>
      <c r="P100" s="55"/>
      <c r="Q100" s="55">
        <f t="shared" si="22"/>
        <v>0</v>
      </c>
      <c r="R100" s="55">
        <f t="shared" si="23"/>
        <v>0</v>
      </c>
      <c r="S100" s="55">
        <f t="shared" si="24"/>
        <v>0</v>
      </c>
      <c r="T100" s="55">
        <f t="shared" si="25"/>
        <v>0</v>
      </c>
      <c r="U100" s="55">
        <f t="shared" si="29"/>
        <v>0</v>
      </c>
      <c r="V100" s="55">
        <f t="shared" si="26"/>
        <v>0</v>
      </c>
      <c r="W100" s="55">
        <f t="shared" si="27"/>
        <v>0</v>
      </c>
      <c r="X100" s="14">
        <f>SUMPRODUCT((Annee_debut=$A100)*(emprunts!$C$2:$C$149=$C100),fraction_annee_absente)</f>
        <v>0</v>
      </c>
      <c r="Z100" s="14">
        <f t="shared" si="36"/>
        <v>0</v>
      </c>
      <c r="AA100" s="12" t="e">
        <f t="shared" si="28"/>
        <v>#DIV/0!</v>
      </c>
    </row>
    <row r="101" spans="1:27">
      <c r="A101">
        <v>2008</v>
      </c>
      <c r="B101" s="1" t="s">
        <v>173</v>
      </c>
      <c r="C101" s="17" t="str">
        <f t="shared" si="34"/>
        <v>Crédit Agricole</v>
      </c>
      <c r="D101" s="2">
        <v>28097112.84</v>
      </c>
      <c r="E101" s="14">
        <v>18007640.760000002</v>
      </c>
      <c r="F101" s="14">
        <v>1912522.08</v>
      </c>
      <c r="G101" s="14">
        <v>719709.3</v>
      </c>
      <c r="H101" s="14">
        <v>1192812.78</v>
      </c>
      <c r="I101" s="14">
        <f t="shared" si="37"/>
        <v>0</v>
      </c>
      <c r="K101" s="12">
        <f t="shared" si="19"/>
        <v>3.6129689590429066E-2</v>
      </c>
      <c r="L101" s="1" t="str">
        <f t="shared" si="20"/>
        <v>2008_0023</v>
      </c>
      <c r="M101" s="14">
        <f t="shared" si="21"/>
        <v>0</v>
      </c>
      <c r="O101" s="55">
        <f t="shared" si="35"/>
        <v>18007641</v>
      </c>
      <c r="P101" s="55"/>
      <c r="Q101" s="55">
        <f t="shared" si="22"/>
        <v>719709.3</v>
      </c>
      <c r="R101" s="55">
        <f t="shared" si="23"/>
        <v>1192812.78</v>
      </c>
      <c r="S101" s="55">
        <f t="shared" si="24"/>
        <v>0</v>
      </c>
      <c r="T101" s="55">
        <f t="shared" si="25"/>
        <v>266151.5</v>
      </c>
      <c r="U101" s="55">
        <f t="shared" si="29"/>
        <v>-0.23999999836087227</v>
      </c>
      <c r="V101" s="55">
        <f t="shared" si="26"/>
        <v>18007641</v>
      </c>
      <c r="W101" s="55">
        <f t="shared" si="27"/>
        <v>18604047.390000001</v>
      </c>
      <c r="X101" s="14">
        <f>SUMPRODUCT((Annee_debut=$A101)*(emprunts!$C$2:$C$149=$C101),fraction_annee_absente)</f>
        <v>0</v>
      </c>
      <c r="Z101" s="14">
        <f t="shared" si="36"/>
        <v>18604047.150000002</v>
      </c>
      <c r="AA101" s="12">
        <f t="shared" si="28"/>
        <v>3.8685630830601288E-2</v>
      </c>
    </row>
    <row r="102" spans="1:27">
      <c r="A102">
        <v>2008</v>
      </c>
      <c r="B102" s="1" t="s">
        <v>172</v>
      </c>
      <c r="C102" s="17" t="str">
        <f t="shared" si="34"/>
        <v>Rheinboden Hypothekenbank</v>
      </c>
      <c r="D102" s="2">
        <v>1997082.13</v>
      </c>
      <c r="E102" s="14">
        <v>262974.56</v>
      </c>
      <c r="F102" s="14">
        <v>146473.01999999999</v>
      </c>
      <c r="G102" s="14">
        <v>13080.13</v>
      </c>
      <c r="H102" s="14">
        <v>133392.89000000001</v>
      </c>
      <c r="I102" s="14">
        <f t="shared" si="37"/>
        <v>0</v>
      </c>
      <c r="K102" s="12">
        <f t="shared" si="19"/>
        <v>3.1945798775999602E-2</v>
      </c>
      <c r="L102" s="1" t="str">
        <f t="shared" si="20"/>
        <v>2008_0025</v>
      </c>
      <c r="M102" s="14">
        <f t="shared" si="21"/>
        <v>0</v>
      </c>
      <c r="O102" s="55">
        <f t="shared" si="35"/>
        <v>0</v>
      </c>
      <c r="P102" s="55"/>
      <c r="Q102" s="55">
        <f t="shared" si="22"/>
        <v>0</v>
      </c>
      <c r="R102" s="55">
        <f t="shared" si="23"/>
        <v>0</v>
      </c>
      <c r="S102" s="55">
        <f t="shared" si="24"/>
        <v>0</v>
      </c>
      <c r="T102" s="55">
        <f t="shared" si="25"/>
        <v>0</v>
      </c>
      <c r="U102" s="55">
        <f t="shared" si="29"/>
        <v>262974.56</v>
      </c>
      <c r="V102" s="55">
        <f t="shared" si="26"/>
        <v>0</v>
      </c>
      <c r="W102" s="55">
        <f t="shared" si="27"/>
        <v>0</v>
      </c>
      <c r="X102" s="14">
        <f>SUMPRODUCT((Annee_debut=$A102)*(emprunts!$C$2:$C$149=$C102),fraction_annee_absente)</f>
        <v>0</v>
      </c>
      <c r="Z102" s="14">
        <f t="shared" si="36"/>
        <v>329671.005</v>
      </c>
      <c r="AA102" s="12">
        <f t="shared" si="28"/>
        <v>3.9676313056406037E-2</v>
      </c>
    </row>
    <row r="103" spans="1:27">
      <c r="A103">
        <v>2009</v>
      </c>
      <c r="B103" s="1" t="s">
        <v>162</v>
      </c>
      <c r="C103" s="17" t="str">
        <f t="shared" ref="C103:C113" si="38">VLOOKUP(B103,preteurs,2,FALSE)</f>
        <v>CDC</v>
      </c>
      <c r="D103" s="2">
        <v>5810598.9900000002</v>
      </c>
      <c r="E103" s="14">
        <v>3312910.28</v>
      </c>
      <c r="F103" s="14">
        <v>706350.18</v>
      </c>
      <c r="G103" s="14">
        <v>172158.5</v>
      </c>
      <c r="H103" s="14">
        <v>534191.68000000005</v>
      </c>
      <c r="I103" s="14">
        <f t="shared" si="37"/>
        <v>0</v>
      </c>
      <c r="K103" s="12">
        <f t="shared" si="19"/>
        <v>4.2833377362162792E-2</v>
      </c>
      <c r="L103" s="1" t="str">
        <f t="shared" si="20"/>
        <v>2009_0001</v>
      </c>
      <c r="M103" s="14">
        <f t="shared" si="21"/>
        <v>4.6566128730773926E-10</v>
      </c>
      <c r="O103" s="55">
        <f t="shared" si="35"/>
        <v>3312910</v>
      </c>
      <c r="P103" s="55"/>
      <c r="Q103" s="55">
        <f t="shared" si="22"/>
        <v>170907.09</v>
      </c>
      <c r="R103" s="55">
        <f t="shared" si="23"/>
        <v>509163.55000000005</v>
      </c>
      <c r="S103" s="55">
        <f t="shared" si="24"/>
        <v>0</v>
      </c>
      <c r="T103" s="55">
        <f t="shared" si="25"/>
        <v>57133.479999999996</v>
      </c>
      <c r="U103" s="55">
        <f t="shared" si="29"/>
        <v>0.27999999979510903</v>
      </c>
      <c r="V103" s="55">
        <f t="shared" si="26"/>
        <v>3312910</v>
      </c>
      <c r="W103" s="55">
        <f t="shared" si="27"/>
        <v>3557717.824931507</v>
      </c>
      <c r="X103" s="14">
        <f>SUMPRODUCT((Annee_debut=$A103)*(emprunts!$C$2:$C$149=$C103),fraction_annee_absente)</f>
        <v>0</v>
      </c>
      <c r="Z103" s="14">
        <f t="shared" si="36"/>
        <v>3570232.1699315067</v>
      </c>
      <c r="AA103" s="12">
        <f t="shared" si="28"/>
        <v>4.8220533513175637E-2</v>
      </c>
    </row>
    <row r="104" spans="1:27">
      <c r="A104">
        <v>2009</v>
      </c>
      <c r="B104" s="1" t="s">
        <v>163</v>
      </c>
      <c r="C104" s="17" t="str">
        <f t="shared" si="38"/>
        <v>Dexia CL</v>
      </c>
      <c r="D104" s="2">
        <f>210697394.84</f>
        <v>210697394.84</v>
      </c>
      <c r="E104" s="14">
        <f>150779505.41</f>
        <v>150779505.41</v>
      </c>
      <c r="F104" s="14">
        <v>12061007.289999999</v>
      </c>
      <c r="G104" s="14">
        <v>4281670.22</v>
      </c>
      <c r="H104" s="14">
        <v>7162477.8600000003</v>
      </c>
      <c r="I104" s="14">
        <f t="shared" si="37"/>
        <v>616859.20999999903</v>
      </c>
      <c r="K104" s="12">
        <f t="shared" si="19"/>
        <v>2.6293642466528541E-2</v>
      </c>
      <c r="L104" s="1" t="str">
        <f t="shared" si="20"/>
        <v>2009_0002</v>
      </c>
      <c r="M104" s="14">
        <f t="shared" si="21"/>
        <v>2750000</v>
      </c>
      <c r="O104" s="55">
        <f t="shared" si="35"/>
        <v>150779507</v>
      </c>
      <c r="P104" s="55"/>
      <c r="Q104" s="55">
        <f t="shared" si="22"/>
        <v>4285102.0499999989</v>
      </c>
      <c r="R104" s="55">
        <f t="shared" si="23"/>
        <v>7162477.8600000003</v>
      </c>
      <c r="S104" s="55">
        <f t="shared" si="24"/>
        <v>1431.83</v>
      </c>
      <c r="T104" s="55">
        <f t="shared" si="25"/>
        <v>2219798.6299999994</v>
      </c>
      <c r="U104" s="55">
        <f t="shared" si="29"/>
        <v>-1.5900000035762787</v>
      </c>
      <c r="V104" s="55">
        <f t="shared" si="26"/>
        <v>150779507</v>
      </c>
      <c r="W104" s="55">
        <f t="shared" si="27"/>
        <v>149045409.08831507</v>
      </c>
      <c r="X104" s="14">
        <f>SUMPRODUCT((Annee_debut=$A104)*(emprunts!$C$2:$C$149=$C104),fraction_annee_absente)</f>
        <v>7674887.6712328764</v>
      </c>
      <c r="Z104" s="14">
        <f t="shared" si="36"/>
        <v>149045407.49831507</v>
      </c>
      <c r="AA104" s="12">
        <f t="shared" si="28"/>
        <v>2.8727287152731647E-2</v>
      </c>
    </row>
    <row r="105" spans="1:27">
      <c r="A105">
        <v>2009</v>
      </c>
      <c r="B105" s="1" t="s">
        <v>164</v>
      </c>
      <c r="C105" s="17" t="str">
        <f t="shared" si="38"/>
        <v>Caisse d'Épargne</v>
      </c>
      <c r="D105" s="2">
        <v>33773645.270000003</v>
      </c>
      <c r="E105" s="14">
        <v>24043909.09</v>
      </c>
      <c r="F105" s="14">
        <v>2289583.67</v>
      </c>
      <c r="G105" s="14">
        <v>655235.59</v>
      </c>
      <c r="H105" s="14">
        <v>1634348.08</v>
      </c>
      <c r="I105" s="14">
        <f t="shared" si="37"/>
        <v>0</v>
      </c>
      <c r="K105" s="12">
        <f t="shared" si="19"/>
        <v>2.4882213535884937E-2</v>
      </c>
      <c r="L105" s="1" t="str">
        <f t="shared" si="20"/>
        <v>2009_0003</v>
      </c>
      <c r="M105" s="14">
        <f t="shared" si="21"/>
        <v>0</v>
      </c>
      <c r="O105" s="55">
        <f t="shared" si="35"/>
        <v>24043909</v>
      </c>
      <c r="P105" s="55"/>
      <c r="Q105" s="55">
        <f t="shared" si="22"/>
        <v>655235.59000000008</v>
      </c>
      <c r="R105" s="55">
        <f t="shared" si="23"/>
        <v>1634348.08</v>
      </c>
      <c r="S105" s="55">
        <f t="shared" si="24"/>
        <v>0</v>
      </c>
      <c r="T105" s="55">
        <f t="shared" si="25"/>
        <v>38067.279999999999</v>
      </c>
      <c r="U105" s="55">
        <f t="shared" si="29"/>
        <v>8.9999999850988388E-2</v>
      </c>
      <c r="V105" s="55">
        <f t="shared" si="26"/>
        <v>24043909</v>
      </c>
      <c r="W105" s="55">
        <f t="shared" si="27"/>
        <v>24783893.483178083</v>
      </c>
      <c r="X105" s="14">
        <f>SUMPRODUCT((Annee_debut=$A105)*(emprunts!$C$2:$C$149=$C105),fraction_annee_absente)</f>
        <v>0</v>
      </c>
      <c r="Z105" s="14">
        <f t="shared" si="36"/>
        <v>24783893.573178083</v>
      </c>
      <c r="AA105" s="12">
        <f t="shared" si="28"/>
        <v>2.6437960123792525E-2</v>
      </c>
    </row>
    <row r="106" spans="1:27">
      <c r="A106">
        <v>2009</v>
      </c>
      <c r="B106" s="1" t="s">
        <v>165</v>
      </c>
      <c r="C106" s="17" t="str">
        <f t="shared" si="38"/>
        <v>Crédit Mutuel</v>
      </c>
      <c r="D106" s="2">
        <v>3942842.28</v>
      </c>
      <c r="E106" s="14">
        <v>1415291.96</v>
      </c>
      <c r="F106" s="14">
        <v>616238.07999999996</v>
      </c>
      <c r="G106" s="14">
        <v>64964.62</v>
      </c>
      <c r="H106" s="14">
        <v>545747.41</v>
      </c>
      <c r="I106" s="14">
        <f t="shared" si="37"/>
        <v>5526.0499999999302</v>
      </c>
      <c r="K106" s="12">
        <f t="shared" si="19"/>
        <v>3.1978173455904202E-2</v>
      </c>
      <c r="L106" s="1" t="str">
        <f t="shared" si="20"/>
        <v>2009_0004</v>
      </c>
      <c r="M106" s="14">
        <f t="shared" si="21"/>
        <v>0</v>
      </c>
      <c r="O106" s="55">
        <f t="shared" si="35"/>
        <v>1415293</v>
      </c>
      <c r="P106" s="55"/>
      <c r="Q106" s="55">
        <f t="shared" si="22"/>
        <v>70490.669999999984</v>
      </c>
      <c r="R106" s="55">
        <f t="shared" si="23"/>
        <v>545747.40999999992</v>
      </c>
      <c r="S106" s="55">
        <f t="shared" si="24"/>
        <v>5526.0499999999956</v>
      </c>
      <c r="T106" s="55">
        <f t="shared" si="25"/>
        <v>25384.23</v>
      </c>
      <c r="U106" s="55">
        <f t="shared" si="29"/>
        <v>-1.0400000000372529</v>
      </c>
      <c r="V106" s="55">
        <f t="shared" si="26"/>
        <v>1415293</v>
      </c>
      <c r="W106" s="55">
        <f t="shared" si="27"/>
        <v>1683541.5907397261</v>
      </c>
      <c r="X106" s="14">
        <f>SUMPRODUCT((Annee_debut=$A106)*(emprunts!$C$2:$C$149=$C106),fraction_annee_absente)</f>
        <v>0</v>
      </c>
      <c r="Z106" s="14">
        <f t="shared" si="36"/>
        <v>1683540.5507397261</v>
      </c>
      <c r="AA106" s="12">
        <f t="shared" si="28"/>
        <v>3.8588093391308802E-2</v>
      </c>
    </row>
    <row r="107" spans="1:27">
      <c r="A107">
        <v>2009</v>
      </c>
      <c r="B107" s="1" t="s">
        <v>166</v>
      </c>
      <c r="C107" s="17" t="str">
        <f t="shared" si="38"/>
        <v>Société générale</v>
      </c>
      <c r="D107" s="2">
        <v>17869019.960000001</v>
      </c>
      <c r="E107" s="14">
        <v>13074986.199999999</v>
      </c>
      <c r="F107" s="14">
        <v>946964.79</v>
      </c>
      <c r="G107" s="14">
        <v>462543.55</v>
      </c>
      <c r="H107" s="14">
        <v>484421.24</v>
      </c>
      <c r="I107" s="14">
        <f t="shared" si="37"/>
        <v>0</v>
      </c>
      <c r="K107" s="12">
        <f t="shared" si="19"/>
        <v>3.2987103601337012E-2</v>
      </c>
      <c r="L107" s="1" t="str">
        <f t="shared" si="20"/>
        <v>2009_0005</v>
      </c>
      <c r="M107" s="14">
        <f t="shared" si="21"/>
        <v>1.862645149230957E-9</v>
      </c>
      <c r="O107" s="55">
        <f t="shared" si="35"/>
        <v>13074986.199999999</v>
      </c>
      <c r="P107" s="55"/>
      <c r="Q107" s="55">
        <f t="shared" si="22"/>
        <v>462543.55</v>
      </c>
      <c r="R107" s="55">
        <f t="shared" si="23"/>
        <v>484421.24</v>
      </c>
      <c r="S107" s="55">
        <f t="shared" si="24"/>
        <v>0</v>
      </c>
      <c r="T107" s="55">
        <f t="shared" si="25"/>
        <v>0</v>
      </c>
      <c r="U107" s="55">
        <f t="shared" si="29"/>
        <v>0</v>
      </c>
      <c r="V107" s="55">
        <f t="shared" si="26"/>
        <v>13074986.199999999</v>
      </c>
      <c r="W107" s="55">
        <f t="shared" si="27"/>
        <v>13296876.472410958</v>
      </c>
      <c r="X107" s="14">
        <f>SUMPRODUCT((Annee_debut=$A107)*(emprunts!$C$2:$C$149=$C107),fraction_annee_absente)</f>
        <v>0</v>
      </c>
      <c r="Z107" s="14">
        <f t="shared" si="36"/>
        <v>13296876.472410958</v>
      </c>
      <c r="AA107" s="12">
        <f t="shared" si="28"/>
        <v>3.4785880049326555E-2</v>
      </c>
    </row>
    <row r="108" spans="1:27">
      <c r="A108">
        <v>2009</v>
      </c>
      <c r="B108" s="1" t="s">
        <v>167</v>
      </c>
      <c r="C108" s="17" t="str">
        <f t="shared" si="38"/>
        <v>Crédit Foncier</v>
      </c>
      <c r="D108" s="2">
        <v>0</v>
      </c>
      <c r="E108" s="14">
        <v>0</v>
      </c>
      <c r="F108" s="14">
        <v>0</v>
      </c>
      <c r="G108" s="14">
        <v>0</v>
      </c>
      <c r="H108" s="14">
        <v>0</v>
      </c>
      <c r="I108" s="14">
        <f t="shared" si="37"/>
        <v>0</v>
      </c>
      <c r="K108" s="12" t="str">
        <f t="shared" si="19"/>
        <v/>
      </c>
      <c r="L108" s="1" t="str">
        <f t="shared" si="20"/>
        <v>2009_0014</v>
      </c>
      <c r="M108" s="14" t="str">
        <f t="shared" si="21"/>
        <v/>
      </c>
      <c r="O108" s="55">
        <f t="shared" si="35"/>
        <v>0</v>
      </c>
      <c r="P108" s="55"/>
      <c r="Q108" s="55">
        <f t="shared" si="22"/>
        <v>0</v>
      </c>
      <c r="R108" s="55">
        <f t="shared" si="23"/>
        <v>0</v>
      </c>
      <c r="S108" s="55">
        <f t="shared" si="24"/>
        <v>0</v>
      </c>
      <c r="T108" s="55">
        <f t="shared" si="25"/>
        <v>0</v>
      </c>
      <c r="U108" s="55">
        <f t="shared" si="29"/>
        <v>0</v>
      </c>
      <c r="V108" s="55">
        <f t="shared" si="26"/>
        <v>0</v>
      </c>
      <c r="W108" s="55">
        <f t="shared" si="27"/>
        <v>0</v>
      </c>
      <c r="X108" s="14">
        <f>SUMPRODUCT((Annee_debut=$A108)*(emprunts!$C$2:$C$149=$C108),fraction_annee_absente)</f>
        <v>0</v>
      </c>
      <c r="Z108" s="14">
        <f t="shared" si="36"/>
        <v>0</v>
      </c>
      <c r="AA108" s="12" t="e">
        <f t="shared" si="28"/>
        <v>#DIV/0!</v>
      </c>
    </row>
    <row r="109" spans="1:27">
      <c r="A109">
        <v>2009</v>
      </c>
      <c r="B109" s="1" t="s">
        <v>168</v>
      </c>
      <c r="C109" s="17" t="str">
        <f t="shared" si="38"/>
        <v>Auxifip CEPME</v>
      </c>
      <c r="D109" s="2">
        <v>1280571.74</v>
      </c>
      <c r="E109" s="14">
        <v>0</v>
      </c>
      <c r="F109" s="14">
        <v>95514.92</v>
      </c>
      <c r="G109" s="14">
        <v>1898.33</v>
      </c>
      <c r="H109" s="14">
        <v>93616.58</v>
      </c>
      <c r="I109" s="14">
        <f t="shared" si="37"/>
        <v>9.9999999947613105E-3</v>
      </c>
      <c r="K109" s="12">
        <f t="shared" si="19"/>
        <v>1.9874696016077907E-2</v>
      </c>
      <c r="L109" s="1" t="str">
        <f t="shared" si="20"/>
        <v>2009_0015</v>
      </c>
      <c r="M109" s="14" t="str">
        <f t="shared" si="21"/>
        <v/>
      </c>
      <c r="O109" s="55">
        <f t="shared" si="35"/>
        <v>0</v>
      </c>
      <c r="P109" s="55"/>
      <c r="Q109" s="55">
        <f t="shared" si="22"/>
        <v>0</v>
      </c>
      <c r="R109" s="55">
        <f t="shared" si="23"/>
        <v>0</v>
      </c>
      <c r="S109" s="55">
        <f t="shared" si="24"/>
        <v>0</v>
      </c>
      <c r="T109" s="55">
        <f t="shared" si="25"/>
        <v>0</v>
      </c>
      <c r="U109" s="55">
        <f t="shared" si="29"/>
        <v>0</v>
      </c>
      <c r="V109" s="55">
        <f t="shared" si="26"/>
        <v>0</v>
      </c>
      <c r="W109" s="55">
        <f t="shared" si="27"/>
        <v>0</v>
      </c>
      <c r="X109" s="14">
        <f>SUMPRODUCT((Annee_debut=$A109)*(emprunts!$C$2:$C$149=$C109),fraction_annee_absente)</f>
        <v>0</v>
      </c>
      <c r="Z109" s="14">
        <f t="shared" si="36"/>
        <v>46808.29</v>
      </c>
      <c r="AA109" s="12">
        <f t="shared" si="28"/>
        <v>4.0555422981698327E-2</v>
      </c>
    </row>
    <row r="110" spans="1:27">
      <c r="A110">
        <v>2009</v>
      </c>
      <c r="B110" s="1" t="s">
        <v>169</v>
      </c>
      <c r="C110" s="17" t="str">
        <f t="shared" si="38"/>
        <v>Natixis</v>
      </c>
      <c r="D110" s="2">
        <v>0</v>
      </c>
      <c r="E110" s="14">
        <v>0</v>
      </c>
      <c r="F110" s="14">
        <v>0</v>
      </c>
      <c r="G110" s="14">
        <v>0</v>
      </c>
      <c r="H110" s="14">
        <v>0</v>
      </c>
      <c r="I110" s="14">
        <f t="shared" si="37"/>
        <v>0</v>
      </c>
      <c r="K110" s="12" t="str">
        <f t="shared" si="19"/>
        <v/>
      </c>
      <c r="L110" s="1" t="str">
        <f t="shared" si="20"/>
        <v>2009_0016</v>
      </c>
      <c r="M110" s="14" t="str">
        <f t="shared" si="21"/>
        <v/>
      </c>
      <c r="O110" s="55">
        <f t="shared" si="35"/>
        <v>0</v>
      </c>
      <c r="P110" s="55"/>
      <c r="Q110" s="55">
        <f t="shared" si="22"/>
        <v>0</v>
      </c>
      <c r="R110" s="55">
        <f t="shared" si="23"/>
        <v>0</v>
      </c>
      <c r="S110" s="55">
        <f t="shared" si="24"/>
        <v>0</v>
      </c>
      <c r="T110" s="55">
        <f t="shared" si="25"/>
        <v>0</v>
      </c>
      <c r="U110" s="55">
        <f t="shared" si="29"/>
        <v>0</v>
      </c>
      <c r="V110" s="55">
        <f t="shared" si="26"/>
        <v>0</v>
      </c>
      <c r="W110" s="55">
        <f t="shared" si="27"/>
        <v>0</v>
      </c>
      <c r="X110" s="14">
        <f>SUMPRODUCT((Annee_debut=$A110)*(emprunts!$C$2:$C$149=$C110),fraction_annee_absente)</f>
        <v>0</v>
      </c>
      <c r="Z110" s="14">
        <f t="shared" si="36"/>
        <v>0</v>
      </c>
      <c r="AA110" s="12" t="e">
        <f t="shared" si="28"/>
        <v>#DIV/0!</v>
      </c>
    </row>
    <row r="111" spans="1:27">
      <c r="A111">
        <v>2009</v>
      </c>
      <c r="B111" s="1" t="s">
        <v>171</v>
      </c>
      <c r="C111" s="17" t="str">
        <f t="shared" si="38"/>
        <v>Deutsche Hypothekenbank</v>
      </c>
      <c r="D111" s="2">
        <v>0</v>
      </c>
      <c r="E111" s="14">
        <v>0</v>
      </c>
      <c r="F111" s="14">
        <v>0</v>
      </c>
      <c r="G111" s="14">
        <v>0</v>
      </c>
      <c r="H111" s="14">
        <v>0</v>
      </c>
      <c r="I111" s="14">
        <f t="shared" si="37"/>
        <v>0</v>
      </c>
      <c r="K111" s="12" t="str">
        <f t="shared" si="19"/>
        <v/>
      </c>
      <c r="L111" s="1" t="str">
        <f t="shared" si="20"/>
        <v>2009_0022</v>
      </c>
      <c r="M111" s="14" t="str">
        <f t="shared" si="21"/>
        <v/>
      </c>
      <c r="O111" s="55">
        <f t="shared" si="35"/>
        <v>0</v>
      </c>
      <c r="P111" s="55"/>
      <c r="Q111" s="55">
        <f t="shared" si="22"/>
        <v>0</v>
      </c>
      <c r="R111" s="55">
        <f t="shared" si="23"/>
        <v>0</v>
      </c>
      <c r="S111" s="55">
        <f t="shared" si="24"/>
        <v>0</v>
      </c>
      <c r="T111" s="55">
        <f t="shared" si="25"/>
        <v>0</v>
      </c>
      <c r="U111" s="55">
        <f t="shared" si="29"/>
        <v>0</v>
      </c>
      <c r="V111" s="55">
        <f t="shared" si="26"/>
        <v>0</v>
      </c>
      <c r="W111" s="55">
        <f t="shared" si="27"/>
        <v>0</v>
      </c>
      <c r="X111" s="14">
        <f>SUMPRODUCT((Annee_debut=$A111)*(emprunts!$C$2:$C$149=$C111),fraction_annee_absente)</f>
        <v>0</v>
      </c>
      <c r="Z111" s="14">
        <f t="shared" si="36"/>
        <v>0</v>
      </c>
      <c r="AA111" s="12" t="e">
        <f t="shared" si="28"/>
        <v>#DIV/0!</v>
      </c>
    </row>
    <row r="112" spans="1:27">
      <c r="A112">
        <v>2009</v>
      </c>
      <c r="B112" s="1" t="s">
        <v>173</v>
      </c>
      <c r="C112" s="17" t="str">
        <f t="shared" si="38"/>
        <v>Crédit Agricole</v>
      </c>
      <c r="D112" s="2">
        <v>23097112.84</v>
      </c>
      <c r="E112" s="14">
        <v>16730670.220000001</v>
      </c>
      <c r="F112" s="14">
        <v>1788575.83</v>
      </c>
      <c r="G112" s="14">
        <v>513195.72</v>
      </c>
      <c r="H112" s="14">
        <v>1276970.54</v>
      </c>
      <c r="I112" s="14">
        <f t="shared" si="37"/>
        <v>-1590.4299999999348</v>
      </c>
      <c r="K112" s="12">
        <f t="shared" si="19"/>
        <v>2.7711480187391318E-2</v>
      </c>
      <c r="L112" s="1" t="str">
        <f t="shared" si="20"/>
        <v>2009_0023</v>
      </c>
      <c r="M112" s="14">
        <f t="shared" si="21"/>
        <v>0</v>
      </c>
      <c r="O112" s="55">
        <f t="shared" si="35"/>
        <v>16730670</v>
      </c>
      <c r="P112" s="55"/>
      <c r="Q112" s="55">
        <f t="shared" si="22"/>
        <v>511605.29000000004</v>
      </c>
      <c r="R112" s="55">
        <f t="shared" si="23"/>
        <v>1276970.54</v>
      </c>
      <c r="S112" s="55">
        <f t="shared" si="24"/>
        <v>-1590.429999999993</v>
      </c>
      <c r="T112" s="55">
        <f t="shared" si="25"/>
        <v>246010.41999999998</v>
      </c>
      <c r="U112" s="55">
        <f t="shared" si="29"/>
        <v>0.22000000067055225</v>
      </c>
      <c r="V112" s="55">
        <f t="shared" si="26"/>
        <v>16730670</v>
      </c>
      <c r="W112" s="55">
        <f t="shared" si="27"/>
        <v>17321568.543232877</v>
      </c>
      <c r="X112" s="14">
        <f>SUMPRODUCT((Annee_debut=$A112)*(emprunts!$C$2:$C$149=$C112),fraction_annee_absente)</f>
        <v>0</v>
      </c>
      <c r="Z112" s="14">
        <f t="shared" si="36"/>
        <v>17321568.763232879</v>
      </c>
      <c r="AA112" s="12">
        <f t="shared" si="28"/>
        <v>2.9627554352312468E-2</v>
      </c>
    </row>
    <row r="113" spans="1:27">
      <c r="A113">
        <v>2009</v>
      </c>
      <c r="B113" s="1" t="s">
        <v>172</v>
      </c>
      <c r="C113" s="17" t="str">
        <f t="shared" si="38"/>
        <v>Rheinboden Hypothekenbank</v>
      </c>
      <c r="D113" s="2">
        <v>1997082.13</v>
      </c>
      <c r="E113" s="14">
        <v>129581.67</v>
      </c>
      <c r="F113" s="14">
        <v>142071.04999999999</v>
      </c>
      <c r="G113" s="14">
        <v>8678.16</v>
      </c>
      <c r="H113" s="14">
        <v>133392.89000000001</v>
      </c>
      <c r="I113" s="14">
        <f t="shared" si="37"/>
        <v>0</v>
      </c>
      <c r="K113" s="12">
        <f t="shared" si="19"/>
        <v>3.1945787253667111E-2</v>
      </c>
      <c r="L113" s="1" t="str">
        <f t="shared" si="20"/>
        <v>2009_0025</v>
      </c>
      <c r="M113" s="14">
        <f t="shared" si="21"/>
        <v>0</v>
      </c>
      <c r="O113" s="55">
        <f t="shared" si="35"/>
        <v>0</v>
      </c>
      <c r="P113" s="55"/>
      <c r="Q113" s="55">
        <f t="shared" si="22"/>
        <v>0</v>
      </c>
      <c r="R113" s="55">
        <f t="shared" si="23"/>
        <v>0</v>
      </c>
      <c r="S113" s="55">
        <f t="shared" si="24"/>
        <v>0</v>
      </c>
      <c r="T113" s="55">
        <f t="shared" si="25"/>
        <v>0</v>
      </c>
      <c r="U113" s="55">
        <f t="shared" si="29"/>
        <v>129581.67</v>
      </c>
      <c r="V113" s="55">
        <f t="shared" si="26"/>
        <v>0</v>
      </c>
      <c r="W113" s="55">
        <f t="shared" si="27"/>
        <v>0</v>
      </c>
      <c r="X113" s="14">
        <f>SUMPRODUCT((Annee_debut=$A113)*(emprunts!$C$2:$C$149=$C113),fraction_annee_absente)</f>
        <v>0</v>
      </c>
      <c r="Z113" s="14">
        <f t="shared" si="36"/>
        <v>196278.11499999999</v>
      </c>
      <c r="AA113" s="12">
        <f t="shared" si="28"/>
        <v>4.4213589477359719E-2</v>
      </c>
    </row>
    <row r="114" spans="1:27">
      <c r="A114">
        <v>2010</v>
      </c>
      <c r="B114" s="1" t="s">
        <v>162</v>
      </c>
      <c r="C114" s="17" t="str">
        <f t="shared" ref="C114:C124" si="39">VLOOKUP(B114,preteurs,2,FALSE)</f>
        <v>CDC</v>
      </c>
      <c r="D114" s="2">
        <v>5562869.3399999999</v>
      </c>
      <c r="E114" s="14">
        <v>2779959.62</v>
      </c>
      <c r="F114" s="14">
        <v>605086.87</v>
      </c>
      <c r="G114" s="14">
        <v>72136.210000000006</v>
      </c>
      <c r="H114" s="14">
        <v>532950.66</v>
      </c>
      <c r="I114" s="14">
        <f t="shared" si="37"/>
        <v>0</v>
      </c>
      <c r="K114" s="12">
        <f t="shared" si="19"/>
        <v>2.1310256805365177E-2</v>
      </c>
      <c r="L114" s="1" t="str">
        <f t="shared" si="20"/>
        <v>2010_0001</v>
      </c>
      <c r="M114" s="14">
        <f t="shared" si="21"/>
        <v>0</v>
      </c>
      <c r="O114" s="55">
        <f t="shared" ref="O114:O173" si="40">SUMPRODUCT((annee=$A114)*(preteur=$C114),encours)</f>
        <v>2779960</v>
      </c>
      <c r="P114" s="55"/>
      <c r="Q114" s="55">
        <f t="shared" si="22"/>
        <v>72136.209999999992</v>
      </c>
      <c r="R114" s="55">
        <f t="shared" si="23"/>
        <v>532950.65999999992</v>
      </c>
      <c r="S114" s="55">
        <f t="shared" si="24"/>
        <v>0</v>
      </c>
      <c r="T114" s="55">
        <f t="shared" si="25"/>
        <v>57485.960000000006</v>
      </c>
      <c r="U114" s="55">
        <f t="shared" si="29"/>
        <v>-0.37999999988824129</v>
      </c>
      <c r="V114" s="55">
        <f t="shared" si="26"/>
        <v>2779960</v>
      </c>
      <c r="W114" s="55">
        <f t="shared" si="27"/>
        <v>3038088.9318356169</v>
      </c>
      <c r="X114" s="14">
        <f>SUMPRODUCT((Annee_debut=$A114)*(emprunts!$C$2:$C$149=$C114),fraction_annee_absente)</f>
        <v>0</v>
      </c>
      <c r="Z114" s="14">
        <f t="shared" si="36"/>
        <v>3038088.5518356171</v>
      </c>
      <c r="AA114" s="12">
        <f t="shared" si="28"/>
        <v>2.3743945829497043E-2</v>
      </c>
    </row>
    <row r="115" spans="1:27">
      <c r="A115">
        <v>2010</v>
      </c>
      <c r="B115" s="1" t="s">
        <v>163</v>
      </c>
      <c r="C115" s="17" t="str">
        <f t="shared" si="39"/>
        <v>Dexia CL</v>
      </c>
      <c r="D115" s="2">
        <v>212505664.80000001</v>
      </c>
      <c r="E115" s="14">
        <v>147031906.90000001</v>
      </c>
      <c r="F115" s="14">
        <v>10877916.5</v>
      </c>
      <c r="G115" s="14">
        <v>4380317.99</v>
      </c>
      <c r="H115" s="14">
        <v>6497598.5099999998</v>
      </c>
      <c r="I115" s="14">
        <f t="shared" si="37"/>
        <v>0</v>
      </c>
      <c r="K115" s="12">
        <f t="shared" si="19"/>
        <v>2.7739363490416013E-2</v>
      </c>
      <c r="L115" s="1" t="str">
        <f t="shared" si="20"/>
        <v>2010_0002</v>
      </c>
      <c r="M115" s="14">
        <f t="shared" si="21"/>
        <v>0</v>
      </c>
      <c r="O115" s="55">
        <f t="shared" si="40"/>
        <v>147031906</v>
      </c>
      <c r="P115" s="55"/>
      <c r="Q115" s="55">
        <f t="shared" si="22"/>
        <v>4430784.7617304418</v>
      </c>
      <c r="R115" s="55">
        <f t="shared" si="23"/>
        <v>6506456.2599999998</v>
      </c>
      <c r="S115" s="55">
        <f t="shared" si="24"/>
        <v>0</v>
      </c>
      <c r="T115" s="55">
        <f t="shared" si="25"/>
        <v>1720052.0504326103</v>
      </c>
      <c r="U115" s="55">
        <f t="shared" si="29"/>
        <v>0.90000000596046448</v>
      </c>
      <c r="V115" s="55">
        <f t="shared" si="26"/>
        <v>147031906</v>
      </c>
      <c r="W115" s="55">
        <f t="shared" si="27"/>
        <v>148923518.206</v>
      </c>
      <c r="X115" s="14">
        <f>SUMPRODUCT((Annee_debut=$A115)*(emprunts!$C$2:$C$149=$C115),fraction_annee_absente)</f>
        <v>421232.87671232881</v>
      </c>
      <c r="Z115" s="14">
        <f t="shared" si="36"/>
        <v>148919090.23100001</v>
      </c>
      <c r="AA115" s="12">
        <f t="shared" si="28"/>
        <v>2.9414079707345428E-2</v>
      </c>
    </row>
    <row r="116" spans="1:27">
      <c r="A116">
        <v>2010</v>
      </c>
      <c r="B116" s="1" t="s">
        <v>164</v>
      </c>
      <c r="C116" s="17" t="str">
        <f t="shared" si="39"/>
        <v>Caisse d'Épargne</v>
      </c>
      <c r="D116" s="2">
        <v>28773645.27</v>
      </c>
      <c r="E116" s="14">
        <v>22357314.440000001</v>
      </c>
      <c r="F116" s="14">
        <v>2354145.94</v>
      </c>
      <c r="G116" s="14">
        <v>667551.29</v>
      </c>
      <c r="H116" s="14">
        <v>1686594.65</v>
      </c>
      <c r="I116" s="14">
        <f t="shared" si="37"/>
        <v>0</v>
      </c>
      <c r="K116" s="12">
        <f t="shared" si="19"/>
        <v>2.7013834056536644E-2</v>
      </c>
      <c r="L116" s="1" t="str">
        <f t="shared" si="20"/>
        <v>2010_0003</v>
      </c>
      <c r="M116" s="14">
        <f t="shared" si="21"/>
        <v>5200000</v>
      </c>
      <c r="O116" s="55">
        <f t="shared" si="40"/>
        <v>22357314</v>
      </c>
      <c r="P116" s="55"/>
      <c r="Q116" s="55">
        <f t="shared" si="22"/>
        <v>667551.09</v>
      </c>
      <c r="R116" s="55">
        <f t="shared" si="23"/>
        <v>1693452.4300000002</v>
      </c>
      <c r="S116" s="55">
        <f t="shared" si="24"/>
        <v>0</v>
      </c>
      <c r="T116" s="55">
        <f t="shared" si="25"/>
        <v>370956.63</v>
      </c>
      <c r="U116" s="55">
        <f t="shared" si="29"/>
        <v>0.44000000134110451</v>
      </c>
      <c r="V116" s="55">
        <f t="shared" si="26"/>
        <v>22357314</v>
      </c>
      <c r="W116" s="55">
        <f t="shared" si="27"/>
        <v>23140467.502082191</v>
      </c>
      <c r="X116" s="14">
        <f>SUMPRODUCT((Annee_debut=$A116)*(emprunts!$C$2:$C$149=$C116),fraction_annee_absente)</f>
        <v>0</v>
      </c>
      <c r="Z116" s="14">
        <f t="shared" si="36"/>
        <v>23137039.052082192</v>
      </c>
      <c r="AA116" s="12">
        <f t="shared" si="28"/>
        <v>2.8852062206288429E-2</v>
      </c>
    </row>
    <row r="117" spans="1:27">
      <c r="A117">
        <v>2010</v>
      </c>
      <c r="B117" s="1" t="s">
        <v>165</v>
      </c>
      <c r="C117" s="17" t="str">
        <f t="shared" si="39"/>
        <v>Crédit Mutuel</v>
      </c>
      <c r="D117" s="2">
        <v>3942842.28</v>
      </c>
      <c r="E117" s="14">
        <v>854025.76</v>
      </c>
      <c r="F117" s="14">
        <v>609054.81999999995</v>
      </c>
      <c r="G117" s="14">
        <v>47788.62</v>
      </c>
      <c r="H117" s="14">
        <v>561266.19999999995</v>
      </c>
      <c r="I117" s="14">
        <f t="shared" si="37"/>
        <v>0</v>
      </c>
      <c r="K117" s="12">
        <f t="shared" si="19"/>
        <v>3.2663012996864464E-2</v>
      </c>
      <c r="L117" s="1" t="str">
        <f t="shared" si="20"/>
        <v>2010_0004</v>
      </c>
      <c r="M117" s="14">
        <f t="shared" si="21"/>
        <v>0</v>
      </c>
      <c r="O117" s="55">
        <f t="shared" si="40"/>
        <v>854025</v>
      </c>
      <c r="P117" s="55"/>
      <c r="Q117" s="55">
        <f t="shared" si="22"/>
        <v>47788.619999999995</v>
      </c>
      <c r="R117" s="55">
        <f t="shared" si="23"/>
        <v>561266.19999999995</v>
      </c>
      <c r="S117" s="55">
        <f t="shared" si="24"/>
        <v>0</v>
      </c>
      <c r="T117" s="55">
        <f t="shared" si="25"/>
        <v>21373.46</v>
      </c>
      <c r="U117" s="55">
        <f t="shared" si="29"/>
        <v>0.76000000000931323</v>
      </c>
      <c r="V117" s="55">
        <f t="shared" si="26"/>
        <v>854025</v>
      </c>
      <c r="W117" s="55">
        <f t="shared" si="27"/>
        <v>982998.63060273975</v>
      </c>
      <c r="X117" s="14">
        <f>SUMPRODUCT((Annee_debut=$A117)*(emprunts!$C$2:$C$149=$C117),fraction_annee_absente)</f>
        <v>0</v>
      </c>
      <c r="Z117" s="14">
        <f t="shared" si="36"/>
        <v>982999.39060273976</v>
      </c>
      <c r="AA117" s="12">
        <f t="shared" si="28"/>
        <v>4.8615106435312992E-2</v>
      </c>
    </row>
    <row r="118" spans="1:27">
      <c r="A118">
        <v>2010</v>
      </c>
      <c r="B118" s="1" t="s">
        <v>166</v>
      </c>
      <c r="C118" s="17" t="str">
        <f t="shared" si="39"/>
        <v>Société générale</v>
      </c>
      <c r="D118" s="2">
        <v>26438898.280000001</v>
      </c>
      <c r="E118" s="14">
        <v>12569878.32</v>
      </c>
      <c r="F118" s="14">
        <v>970249.38</v>
      </c>
      <c r="G118" s="14">
        <v>465141.5</v>
      </c>
      <c r="H118" s="14">
        <v>505107.88</v>
      </c>
      <c r="I118" s="14">
        <f t="shared" si="37"/>
        <v>0</v>
      </c>
      <c r="K118" s="12">
        <f t="shared" si="19"/>
        <v>3.4352814855653092E-2</v>
      </c>
      <c r="L118" s="1" t="str">
        <f t="shared" si="20"/>
        <v>2010_0005</v>
      </c>
      <c r="M118" s="14">
        <f t="shared" si="21"/>
        <v>8000000</v>
      </c>
      <c r="O118" s="55">
        <f t="shared" si="40"/>
        <v>12569878</v>
      </c>
      <c r="P118" s="55"/>
      <c r="Q118" s="55">
        <f t="shared" si="22"/>
        <v>465141.5</v>
      </c>
      <c r="R118" s="55">
        <f t="shared" si="23"/>
        <v>505107.88</v>
      </c>
      <c r="S118" s="55">
        <f t="shared" si="24"/>
        <v>0</v>
      </c>
      <c r="T118" s="55">
        <f t="shared" si="25"/>
        <v>258988.87</v>
      </c>
      <c r="U118" s="55">
        <f t="shared" si="29"/>
        <v>0.32000000029802322</v>
      </c>
      <c r="V118" s="55">
        <f t="shared" si="26"/>
        <v>12569878</v>
      </c>
      <c r="W118" s="55">
        <f t="shared" si="27"/>
        <v>12730160.540739726</v>
      </c>
      <c r="X118" s="14">
        <f>SUMPRODUCT((Annee_debut=$A118)*(emprunts!$C$2:$C$149=$C118),fraction_annee_absente)</f>
        <v>7693150.6849315073</v>
      </c>
      <c r="Z118" s="14">
        <f t="shared" si="36"/>
        <v>12730160.860739727</v>
      </c>
      <c r="AA118" s="12">
        <f t="shared" si="28"/>
        <v>3.653854064283768E-2</v>
      </c>
    </row>
    <row r="119" spans="1:27">
      <c r="A119">
        <v>2010</v>
      </c>
      <c r="B119" s="1" t="s">
        <v>167</v>
      </c>
      <c r="C119" s="17" t="str">
        <f t="shared" si="39"/>
        <v>Crédit Foncier</v>
      </c>
      <c r="D119" s="2">
        <v>0</v>
      </c>
      <c r="E119" s="14">
        <v>0</v>
      </c>
      <c r="F119" s="14">
        <v>0</v>
      </c>
      <c r="G119" s="14">
        <v>0</v>
      </c>
      <c r="H119" s="14">
        <v>0</v>
      </c>
      <c r="I119" s="14">
        <f t="shared" si="37"/>
        <v>0</v>
      </c>
      <c r="K119" s="12" t="str">
        <f t="shared" si="19"/>
        <v/>
      </c>
      <c r="L119" s="1" t="str">
        <f t="shared" si="20"/>
        <v>2010_0014</v>
      </c>
      <c r="M119" s="14" t="str">
        <f t="shared" si="21"/>
        <v/>
      </c>
      <c r="O119" s="55">
        <f t="shared" si="40"/>
        <v>0</v>
      </c>
      <c r="P119" s="55"/>
      <c r="Q119" s="55">
        <f t="shared" si="22"/>
        <v>0</v>
      </c>
      <c r="R119" s="55">
        <f t="shared" si="23"/>
        <v>0</v>
      </c>
      <c r="S119" s="55">
        <f t="shared" si="24"/>
        <v>0</v>
      </c>
      <c r="T119" s="55">
        <f t="shared" si="25"/>
        <v>0</v>
      </c>
      <c r="U119" s="55">
        <f t="shared" si="29"/>
        <v>0</v>
      </c>
      <c r="V119" s="55">
        <f t="shared" si="26"/>
        <v>0</v>
      </c>
      <c r="W119" s="55">
        <f t="shared" si="27"/>
        <v>0</v>
      </c>
      <c r="X119" s="14">
        <f>SUMPRODUCT((Annee_debut=$A119)*(emprunts!$C$2:$C$149=$C119),fraction_annee_absente)</f>
        <v>0</v>
      </c>
      <c r="Z119" s="14">
        <f t="shared" si="36"/>
        <v>0</v>
      </c>
      <c r="AA119" s="12" t="e">
        <f t="shared" si="28"/>
        <v>#DIV/0!</v>
      </c>
    </row>
    <row r="120" spans="1:27">
      <c r="A120">
        <v>2010</v>
      </c>
      <c r="B120" s="1" t="s">
        <v>168</v>
      </c>
      <c r="C120" s="17" t="str">
        <f t="shared" si="39"/>
        <v>Auxifip CEPME</v>
      </c>
      <c r="D120" s="2">
        <v>0</v>
      </c>
      <c r="E120" s="14">
        <v>0</v>
      </c>
      <c r="F120" s="14">
        <v>0</v>
      </c>
      <c r="G120" s="14">
        <v>0</v>
      </c>
      <c r="H120" s="14">
        <v>0</v>
      </c>
      <c r="I120" s="14">
        <f t="shared" si="37"/>
        <v>0</v>
      </c>
      <c r="K120" s="12" t="str">
        <f t="shared" si="19"/>
        <v/>
      </c>
      <c r="L120" s="1" t="str">
        <f t="shared" si="20"/>
        <v>2010_0015</v>
      </c>
      <c r="M120" s="14" t="str">
        <f t="shared" si="21"/>
        <v/>
      </c>
      <c r="O120" s="55">
        <f t="shared" si="40"/>
        <v>0</v>
      </c>
      <c r="P120" s="55"/>
      <c r="Q120" s="55">
        <f t="shared" si="22"/>
        <v>0</v>
      </c>
      <c r="R120" s="55">
        <f t="shared" si="23"/>
        <v>0</v>
      </c>
      <c r="S120" s="55">
        <f t="shared" si="24"/>
        <v>0</v>
      </c>
      <c r="T120" s="55">
        <f t="shared" si="25"/>
        <v>0</v>
      </c>
      <c r="U120" s="55">
        <f t="shared" si="29"/>
        <v>0</v>
      </c>
      <c r="V120" s="55">
        <f t="shared" si="26"/>
        <v>0</v>
      </c>
      <c r="W120" s="55">
        <f t="shared" si="27"/>
        <v>0</v>
      </c>
      <c r="X120" s="14">
        <f>SUMPRODUCT((Annee_debut=$A120)*(emprunts!$C$2:$C$149=$C120),fraction_annee_absente)</f>
        <v>0</v>
      </c>
      <c r="Z120" s="14">
        <f t="shared" si="36"/>
        <v>0</v>
      </c>
      <c r="AA120" s="12" t="e">
        <f t="shared" si="28"/>
        <v>#DIV/0!</v>
      </c>
    </row>
    <row r="121" spans="1:27">
      <c r="A121">
        <v>2010</v>
      </c>
      <c r="B121" s="1" t="s">
        <v>169</v>
      </c>
      <c r="C121" s="17" t="str">
        <f t="shared" si="39"/>
        <v>Natixis</v>
      </c>
      <c r="D121" s="2">
        <v>0</v>
      </c>
      <c r="E121" s="14">
        <v>0</v>
      </c>
      <c r="F121" s="14">
        <v>0</v>
      </c>
      <c r="G121" s="14">
        <v>0</v>
      </c>
      <c r="H121" s="14">
        <v>0</v>
      </c>
      <c r="I121" s="14">
        <f t="shared" si="37"/>
        <v>0</v>
      </c>
      <c r="K121" s="12" t="str">
        <f t="shared" si="19"/>
        <v/>
      </c>
      <c r="L121" s="1" t="str">
        <f t="shared" si="20"/>
        <v>2010_0016</v>
      </c>
      <c r="M121" s="14" t="str">
        <f t="shared" si="21"/>
        <v/>
      </c>
      <c r="O121" s="55">
        <f t="shared" si="40"/>
        <v>0</v>
      </c>
      <c r="P121" s="55"/>
      <c r="Q121" s="55">
        <f t="shared" si="22"/>
        <v>0</v>
      </c>
      <c r="R121" s="55">
        <f t="shared" si="23"/>
        <v>0</v>
      </c>
      <c r="S121" s="55">
        <f t="shared" si="24"/>
        <v>0</v>
      </c>
      <c r="T121" s="55">
        <f t="shared" si="25"/>
        <v>0</v>
      </c>
      <c r="U121" s="55">
        <f t="shared" si="29"/>
        <v>0</v>
      </c>
      <c r="V121" s="55">
        <f t="shared" si="26"/>
        <v>0</v>
      </c>
      <c r="W121" s="55">
        <f t="shared" si="27"/>
        <v>0</v>
      </c>
      <c r="X121" s="14">
        <f>SUMPRODUCT((Annee_debut=$A121)*(emprunts!$C$2:$C$149=$C121),fraction_annee_absente)</f>
        <v>0</v>
      </c>
      <c r="Z121" s="14">
        <f t="shared" si="36"/>
        <v>0</v>
      </c>
      <c r="AA121" s="12" t="e">
        <f t="shared" si="28"/>
        <v>#DIV/0!</v>
      </c>
    </row>
    <row r="122" spans="1:27">
      <c r="A122">
        <v>2010</v>
      </c>
      <c r="B122" s="1" t="s">
        <v>171</v>
      </c>
      <c r="C122" s="17" t="str">
        <f t="shared" si="39"/>
        <v>Deutsche Hypothekenbank</v>
      </c>
      <c r="D122" s="2">
        <v>0</v>
      </c>
      <c r="E122" s="14">
        <v>0</v>
      </c>
      <c r="F122" s="14">
        <v>0</v>
      </c>
      <c r="G122" s="14">
        <v>0</v>
      </c>
      <c r="H122" s="14">
        <v>0</v>
      </c>
      <c r="I122" s="14">
        <f t="shared" si="37"/>
        <v>0</v>
      </c>
      <c r="K122" s="12" t="str">
        <f t="shared" si="19"/>
        <v/>
      </c>
      <c r="L122" s="1" t="str">
        <f t="shared" si="20"/>
        <v>2010_0022</v>
      </c>
      <c r="M122" s="14" t="str">
        <f t="shared" si="21"/>
        <v/>
      </c>
      <c r="O122" s="55">
        <f t="shared" si="40"/>
        <v>0</v>
      </c>
      <c r="P122" s="55"/>
      <c r="Q122" s="55">
        <f t="shared" si="22"/>
        <v>0</v>
      </c>
      <c r="R122" s="55">
        <f t="shared" si="23"/>
        <v>0</v>
      </c>
      <c r="S122" s="55">
        <f t="shared" si="24"/>
        <v>0</v>
      </c>
      <c r="T122" s="55">
        <f t="shared" si="25"/>
        <v>0</v>
      </c>
      <c r="U122" s="55">
        <f t="shared" si="29"/>
        <v>0</v>
      </c>
      <c r="V122" s="55">
        <f t="shared" si="26"/>
        <v>0</v>
      </c>
      <c r="W122" s="55">
        <f t="shared" si="27"/>
        <v>0</v>
      </c>
      <c r="X122" s="14">
        <f>SUMPRODUCT((Annee_debut=$A122)*(emprunts!$C$2:$C$149=$C122),fraction_annee_absente)</f>
        <v>0</v>
      </c>
      <c r="Z122" s="14">
        <f t="shared" si="36"/>
        <v>0</v>
      </c>
      <c r="AA122" s="12" t="e">
        <f t="shared" si="28"/>
        <v>#DIV/0!</v>
      </c>
    </row>
    <row r="123" spans="1:27">
      <c r="A123">
        <v>2010</v>
      </c>
      <c r="B123" s="1" t="s">
        <v>173</v>
      </c>
      <c r="C123" s="17" t="str">
        <f t="shared" si="39"/>
        <v>Crédit Agricole</v>
      </c>
      <c r="D123" s="2">
        <v>23097112.84</v>
      </c>
      <c r="E123" s="14">
        <v>15407223.65</v>
      </c>
      <c r="F123" s="14">
        <v>1846429.37</v>
      </c>
      <c r="G123" s="14">
        <v>522982.8</v>
      </c>
      <c r="H123" s="14">
        <v>1323446.57</v>
      </c>
      <c r="I123" s="14">
        <f t="shared" si="37"/>
        <v>0</v>
      </c>
      <c r="K123" s="12">
        <f t="shared" si="19"/>
        <v>3.0311424449869923E-2</v>
      </c>
      <c r="L123" s="1" t="str">
        <f t="shared" si="20"/>
        <v>2010_0023</v>
      </c>
      <c r="M123" s="14">
        <f t="shared" si="21"/>
        <v>2.0000001415610313E-2</v>
      </c>
      <c r="O123" s="55">
        <f t="shared" si="40"/>
        <v>15407223</v>
      </c>
      <c r="P123" s="55"/>
      <c r="Q123" s="55">
        <f t="shared" si="22"/>
        <v>522982.8</v>
      </c>
      <c r="R123" s="55">
        <f t="shared" si="23"/>
        <v>1323446.57</v>
      </c>
      <c r="S123" s="55">
        <f t="shared" si="24"/>
        <v>0</v>
      </c>
      <c r="T123" s="55">
        <f t="shared" si="25"/>
        <v>186709.77000000002</v>
      </c>
      <c r="U123" s="55">
        <f t="shared" si="29"/>
        <v>0.65000000037252903</v>
      </c>
      <c r="V123" s="55">
        <f t="shared" si="26"/>
        <v>15407223</v>
      </c>
      <c r="W123" s="55">
        <f t="shared" si="27"/>
        <v>16024921.774630137</v>
      </c>
      <c r="X123" s="14">
        <f>SUMPRODUCT((Annee_debut=$A123)*(emprunts!$C$2:$C$149=$C123),fraction_annee_absente)</f>
        <v>0</v>
      </c>
      <c r="Z123" s="14">
        <f t="shared" si="36"/>
        <v>16024922.424630137</v>
      </c>
      <c r="AA123" s="12">
        <f t="shared" si="28"/>
        <v>3.2635590122806521E-2</v>
      </c>
    </row>
    <row r="124" spans="1:27">
      <c r="A124">
        <v>2010</v>
      </c>
      <c r="B124" s="1" t="s">
        <v>172</v>
      </c>
      <c r="C124" s="17" t="str">
        <f t="shared" si="39"/>
        <v>Rheinboden Hypothekenbank</v>
      </c>
      <c r="D124" s="2">
        <v>1997082.13</v>
      </c>
      <c r="E124" s="14">
        <v>0</v>
      </c>
      <c r="F124" s="14">
        <v>133857.87</v>
      </c>
      <c r="G124" s="14">
        <v>4276.2</v>
      </c>
      <c r="H124" s="14">
        <v>129581.67</v>
      </c>
      <c r="I124" s="14">
        <f t="shared" si="37"/>
        <v>0</v>
      </c>
      <c r="K124" s="12">
        <f t="shared" si="19"/>
        <v>3.1945824328446282E-2</v>
      </c>
      <c r="L124" s="1" t="str">
        <f t="shared" si="20"/>
        <v>2010_0025</v>
      </c>
      <c r="M124" s="14" t="str">
        <f t="shared" si="21"/>
        <v/>
      </c>
      <c r="O124" s="55">
        <f t="shared" si="40"/>
        <v>0</v>
      </c>
      <c r="P124" s="55"/>
      <c r="Q124" s="55">
        <f t="shared" si="22"/>
        <v>0</v>
      </c>
      <c r="R124" s="55">
        <f t="shared" si="23"/>
        <v>0</v>
      </c>
      <c r="S124" s="55">
        <f t="shared" si="24"/>
        <v>0</v>
      </c>
      <c r="T124" s="55">
        <f t="shared" si="25"/>
        <v>0</v>
      </c>
      <c r="U124" s="55">
        <f t="shared" si="29"/>
        <v>0</v>
      </c>
      <c r="V124" s="55">
        <f t="shared" si="26"/>
        <v>0</v>
      </c>
      <c r="W124" s="55">
        <f t="shared" si="27"/>
        <v>0</v>
      </c>
      <c r="X124" s="14">
        <f>SUMPRODUCT((Annee_debut=$A124)*(emprunts!$C$2:$C$149=$C124),fraction_annee_absente)</f>
        <v>0</v>
      </c>
      <c r="Z124" s="14">
        <f t="shared" si="36"/>
        <v>64790.834999999999</v>
      </c>
      <c r="AA124" s="12">
        <f t="shared" si="28"/>
        <v>6.6000075473637593E-2</v>
      </c>
    </row>
    <row r="125" spans="1:27">
      <c r="A125">
        <v>2010</v>
      </c>
      <c r="B125" s="1" t="s">
        <v>277</v>
      </c>
      <c r="C125" s="17" t="str">
        <f t="shared" ref="C125:C137" si="41">VLOOKUP(B125,preteurs,2,FALSE)</f>
        <v>Arkea</v>
      </c>
      <c r="D125" s="2">
        <v>10000000</v>
      </c>
      <c r="E125" s="14">
        <v>10000000</v>
      </c>
      <c r="F125" s="14">
        <v>0</v>
      </c>
      <c r="G125" s="14">
        <v>0</v>
      </c>
      <c r="H125" s="14">
        <v>0</v>
      </c>
      <c r="I125" s="14">
        <f t="shared" si="37"/>
        <v>0</v>
      </c>
      <c r="K125" s="12">
        <f t="shared" si="19"/>
        <v>0</v>
      </c>
      <c r="L125" s="1" t="str">
        <f t="shared" si="20"/>
        <v>2010_Arkea</v>
      </c>
      <c r="M125" s="14">
        <f t="shared" si="21"/>
        <v>0</v>
      </c>
      <c r="O125" s="55">
        <f t="shared" si="40"/>
        <v>10000000</v>
      </c>
      <c r="P125" s="55"/>
      <c r="Q125" s="55">
        <f t="shared" si="22"/>
        <v>0</v>
      </c>
      <c r="R125" s="55">
        <f t="shared" si="23"/>
        <v>0</v>
      </c>
      <c r="S125" s="55">
        <f t="shared" si="24"/>
        <v>0</v>
      </c>
      <c r="T125" s="55">
        <f t="shared" si="25"/>
        <v>0</v>
      </c>
      <c r="U125" s="55">
        <f t="shared" si="29"/>
        <v>0</v>
      </c>
      <c r="V125" s="55">
        <f t="shared" si="26"/>
        <v>10000000</v>
      </c>
      <c r="W125" s="55">
        <f t="shared" si="27"/>
        <v>9972602.7397260275</v>
      </c>
      <c r="X125" s="14">
        <f>SUMPRODUCT((Annee_debut=$A125)*(emprunts!$C$2:$C$149=$C125),fraction_annee_absente)</f>
        <v>0</v>
      </c>
      <c r="Z125" s="14">
        <f t="shared" si="36"/>
        <v>9972602.7397260275</v>
      </c>
      <c r="AA125" s="12">
        <f t="shared" si="28"/>
        <v>0</v>
      </c>
    </row>
    <row r="126" spans="1:27">
      <c r="A126">
        <v>2011</v>
      </c>
      <c r="B126" s="1" t="s">
        <v>162</v>
      </c>
      <c r="C126" s="17" t="str">
        <f t="shared" si="41"/>
        <v>CDC</v>
      </c>
      <c r="D126" s="2">
        <v>5562869.3399999999</v>
      </c>
      <c r="E126" s="14">
        <v>2226689.84</v>
      </c>
      <c r="F126" s="14">
        <v>590131.78</v>
      </c>
      <c r="G126" s="14">
        <v>36862</v>
      </c>
      <c r="H126" s="14">
        <v>553269.78</v>
      </c>
      <c r="I126" s="14">
        <f t="shared" si="37"/>
        <v>0</v>
      </c>
      <c r="K126" s="12">
        <f t="shared" si="19"/>
        <v>1.3086380670423852E-2</v>
      </c>
      <c r="L126" s="1" t="str">
        <f t="shared" si="20"/>
        <v>2011_0001</v>
      </c>
      <c r="M126" s="14">
        <f t="shared" si="21"/>
        <v>6575826.8599999994</v>
      </c>
      <c r="O126" s="55">
        <f t="shared" si="40"/>
        <v>2226690</v>
      </c>
      <c r="P126" s="55"/>
      <c r="Q126" s="55">
        <f t="shared" si="22"/>
        <v>36862</v>
      </c>
      <c r="R126" s="55">
        <f t="shared" si="23"/>
        <v>553270.06000000006</v>
      </c>
      <c r="S126" s="55">
        <f t="shared" si="24"/>
        <v>0</v>
      </c>
      <c r="T126" s="55">
        <f t="shared" si="25"/>
        <v>38078.26</v>
      </c>
      <c r="U126" s="55">
        <f t="shared" si="29"/>
        <v>-0.16000000014901161</v>
      </c>
      <c r="V126" s="55">
        <f t="shared" si="26"/>
        <v>2226690</v>
      </c>
      <c r="W126" s="55">
        <f t="shared" si="27"/>
        <v>2496466.6052602744</v>
      </c>
      <c r="X126" s="14">
        <f>SUMPRODUCT((Annee_debut=$A126)*(emprunts!$C$2:$C$149=$C126),fraction_annee_absente)</f>
        <v>0</v>
      </c>
      <c r="Z126" s="14">
        <f t="shared" si="36"/>
        <v>2496466.3052602741</v>
      </c>
      <c r="AA126" s="12">
        <f t="shared" si="28"/>
        <v>1.4765670949505117E-2</v>
      </c>
    </row>
    <row r="127" spans="1:27">
      <c r="A127">
        <v>2011</v>
      </c>
      <c r="B127" s="1" t="s">
        <v>163</v>
      </c>
      <c r="C127" s="17" t="str">
        <f t="shared" si="41"/>
        <v>Dexia CL</v>
      </c>
      <c r="D127" s="2">
        <f>216833005.49+5000000</f>
        <v>221833005.49000001</v>
      </c>
      <c r="E127" s="14">
        <f>140340624.63+0</f>
        <v>140340624.63</v>
      </c>
      <c r="F127" s="14">
        <f>11749651.52+261256.3</f>
        <v>12010907.82</v>
      </c>
      <c r="G127" s="14">
        <f>5272669.18+46856.36</f>
        <v>5319525.54</v>
      </c>
      <c r="H127" s="14">
        <f>6603903.37+87378.9</f>
        <v>6691282.2700000005</v>
      </c>
      <c r="I127" s="14">
        <f t="shared" si="37"/>
        <v>100.00999999977648</v>
      </c>
      <c r="K127" s="12">
        <f t="shared" si="19"/>
        <v>3.4916127553530234E-2</v>
      </c>
      <c r="L127" s="1" t="str">
        <f t="shared" si="20"/>
        <v>2011_0002</v>
      </c>
      <c r="M127" s="14">
        <f t="shared" si="21"/>
        <v>20380447.480000019</v>
      </c>
      <c r="N127" t="s">
        <v>693</v>
      </c>
      <c r="O127" s="55">
        <f t="shared" si="40"/>
        <v>139340624.48000002</v>
      </c>
      <c r="P127" s="55"/>
      <c r="Q127" s="55">
        <f t="shared" si="22"/>
        <v>5317523.5399999982</v>
      </c>
      <c r="R127" s="55">
        <f t="shared" si="23"/>
        <v>6691479.2699999996</v>
      </c>
      <c r="S127" s="55">
        <f t="shared" si="24"/>
        <v>0</v>
      </c>
      <c r="T127" s="55">
        <f t="shared" si="25"/>
        <v>1923208.8400000005</v>
      </c>
      <c r="U127" s="55">
        <f t="shared" si="29"/>
        <v>1000000.1499999762</v>
      </c>
      <c r="V127" s="55">
        <f t="shared" si="26"/>
        <v>139340624.48000002</v>
      </c>
      <c r="W127" s="55">
        <f t="shared" si="27"/>
        <v>142809187.35321921</v>
      </c>
      <c r="X127" s="14">
        <f>SUMPRODUCT((Annee_debut=$A127)*(emprunts!$C$2:$C$149=$C127),fraction_annee_absente)</f>
        <v>1333393.76</v>
      </c>
      <c r="Z127" s="14">
        <f t="shared" si="36"/>
        <v>143809089.00321919</v>
      </c>
      <c r="AA127" s="12">
        <f t="shared" si="28"/>
        <v>3.6990190097657333E-2</v>
      </c>
    </row>
    <row r="128" spans="1:27">
      <c r="A128">
        <v>2011</v>
      </c>
      <c r="B128" s="1" t="s">
        <v>164</v>
      </c>
      <c r="C128" s="17" t="str">
        <f t="shared" si="41"/>
        <v>Caisse d'Épargne</v>
      </c>
      <c r="D128" s="2">
        <v>38773645.270000003</v>
      </c>
      <c r="E128" s="14">
        <v>25817021.120000001</v>
      </c>
      <c r="F128" s="14">
        <v>2356191.96</v>
      </c>
      <c r="G128" s="14">
        <v>615898.64</v>
      </c>
      <c r="H128" s="14">
        <v>1740293.32</v>
      </c>
      <c r="I128" s="14">
        <f t="shared" si="37"/>
        <v>0</v>
      </c>
      <c r="K128" s="12">
        <f t="shared" si="19"/>
        <v>2.186114300314659E-2</v>
      </c>
      <c r="L128" s="1" t="str">
        <f t="shared" si="20"/>
        <v>2011_0003</v>
      </c>
      <c r="M128" s="14">
        <f t="shared" si="21"/>
        <v>31556435.609999996</v>
      </c>
      <c r="O128" s="55">
        <f t="shared" si="40"/>
        <v>25817021</v>
      </c>
      <c r="P128" s="55"/>
      <c r="Q128" s="55">
        <f t="shared" si="22"/>
        <v>593114.16</v>
      </c>
      <c r="R128" s="55">
        <f t="shared" si="23"/>
        <v>1120699.1100000001</v>
      </c>
      <c r="S128" s="55">
        <f t="shared" si="24"/>
        <v>0</v>
      </c>
      <c r="T128" s="55">
        <f t="shared" si="25"/>
        <v>329873.93</v>
      </c>
      <c r="U128" s="55">
        <f t="shared" si="29"/>
        <v>0.12000000104308128</v>
      </c>
      <c r="V128" s="55">
        <f t="shared" si="26"/>
        <v>25817021</v>
      </c>
      <c r="W128" s="55">
        <f t="shared" si="27"/>
        <v>23626747.621972598</v>
      </c>
      <c r="X128" s="14">
        <f>SUMPRODUCT((Annee_debut=$A128)*(emprunts!$C$2:$C$149=$C128),fraction_annee_absente)</f>
        <v>5150684.9315068489</v>
      </c>
      <c r="Z128" s="14">
        <f t="shared" si="36"/>
        <v>23936544.8469726</v>
      </c>
      <c r="AA128" s="12">
        <f t="shared" si="28"/>
        <v>2.5730473798013354E-2</v>
      </c>
    </row>
    <row r="129" spans="1:27">
      <c r="A129">
        <v>2011</v>
      </c>
      <c r="B129" s="1" t="s">
        <v>165</v>
      </c>
      <c r="C129" s="17" t="str">
        <f t="shared" si="41"/>
        <v>Crédit Mutuel</v>
      </c>
      <c r="D129" s="2">
        <v>2134286.2400000002</v>
      </c>
      <c r="E129" s="14">
        <v>671323.4</v>
      </c>
      <c r="F129" s="14">
        <v>207074.84</v>
      </c>
      <c r="G129" s="14">
        <v>29705.62</v>
      </c>
      <c r="H129" s="14">
        <v>182702.36</v>
      </c>
      <c r="I129" s="14">
        <f t="shared" si="37"/>
        <v>-5333.1399999999849</v>
      </c>
      <c r="K129" s="12">
        <f t="shared" si="19"/>
        <v>3.3817941165273736E-2</v>
      </c>
      <c r="L129" s="1" t="str">
        <f t="shared" si="20"/>
        <v>2011_0004</v>
      </c>
      <c r="M129" s="14">
        <f t="shared" si="21"/>
        <v>4054.7599999998929</v>
      </c>
      <c r="O129" s="55">
        <f t="shared" si="40"/>
        <v>671323</v>
      </c>
      <c r="P129" s="55"/>
      <c r="Q129" s="55">
        <f t="shared" si="22"/>
        <v>29725.62</v>
      </c>
      <c r="R129" s="55">
        <f t="shared" si="23"/>
        <v>182702.27000000002</v>
      </c>
      <c r="S129" s="55">
        <f t="shared" si="24"/>
        <v>0</v>
      </c>
      <c r="T129" s="55">
        <f t="shared" si="25"/>
        <v>6428.35</v>
      </c>
      <c r="U129" s="55">
        <f t="shared" si="29"/>
        <v>0.40000000002328306</v>
      </c>
      <c r="V129" s="55">
        <f t="shared" si="26"/>
        <v>671323</v>
      </c>
      <c r="W129" s="55">
        <f t="shared" si="27"/>
        <v>760584.61682191782</v>
      </c>
      <c r="X129" s="14">
        <f>SUMPRODUCT((Annee_debut=$A129)*(emprunts!$C$2:$C$149=$C129),fraction_annee_absente)</f>
        <v>0</v>
      </c>
      <c r="Z129" s="14">
        <f t="shared" si="36"/>
        <v>760585.06182191777</v>
      </c>
      <c r="AA129" s="12">
        <f t="shared" si="28"/>
        <v>3.9056275873789417E-2</v>
      </c>
    </row>
    <row r="130" spans="1:27">
      <c r="A130">
        <v>2011</v>
      </c>
      <c r="B130" s="1" t="s">
        <v>166</v>
      </c>
      <c r="C130" s="17" t="str">
        <f t="shared" si="41"/>
        <v>Société générale</v>
      </c>
      <c r="D130" s="2">
        <v>20569878.32</v>
      </c>
      <c r="E130" s="14">
        <v>19992952.379999999</v>
      </c>
      <c r="F130" s="14">
        <v>1233466.83</v>
      </c>
      <c r="G130" s="14">
        <v>656540.89</v>
      </c>
      <c r="H130" s="14">
        <v>576925.93999999994</v>
      </c>
      <c r="I130" s="14">
        <f t="shared" si="37"/>
        <v>0</v>
      </c>
      <c r="K130" s="12">
        <f t="shared" ref="K130:K185" si="42">IF(E130+F130=0,"",G130/(E130+F130))</f>
        <v>3.093036482058624E-2</v>
      </c>
      <c r="L130" s="1" t="str">
        <f t="shared" ref="L130:L185" si="43">A130&amp;"_"&amp;B130</f>
        <v>2011_0005</v>
      </c>
      <c r="M130" s="14">
        <f t="shared" ref="M130:M193" si="44">IF(E130&gt;0,INDEX(E:E,MATCH((A130+1)&amp;"_"&amp;B130,L:L,0))+INDEX(H:H,MATCH((A130+1)&amp;"_"&amp;B130,L:L,0))-E130,"")</f>
        <v>35598</v>
      </c>
      <c r="O130" s="55">
        <f t="shared" si="40"/>
        <v>19992952</v>
      </c>
      <c r="P130" s="55"/>
      <c r="Q130" s="55">
        <f t="shared" ref="Q130:Q185" si="45">SUMPRODUCT((annee=$A130)*(preteur=$C130),interet)+SUMPRODUCT((annee=$A130)*(preteur=$C130),Frais)</f>
        <v>654540.89</v>
      </c>
      <c r="R130" s="55">
        <f t="shared" ref="R130:R185" si="46">SUMPRODUCT((annee=$A130)*(preteur=$C130),amortissement)</f>
        <v>576925.93999999994</v>
      </c>
      <c r="S130" s="55">
        <f t="shared" ref="S130:S193" si="47">SUMPRODUCT((annee=$A130)*(preteur=$C130),Frais)</f>
        <v>0</v>
      </c>
      <c r="T130" s="55">
        <f t="shared" ref="T130:T193" si="48">SUMPRODUCT((annee=$A130)*(preteur=$C130),ICNE)</f>
        <v>302997.18000000005</v>
      </c>
      <c r="U130" s="55">
        <f t="shared" si="29"/>
        <v>0.37999999895691872</v>
      </c>
      <c r="V130" s="55">
        <f t="shared" ref="V130:V193" si="49">SUMPRODUCT((annee=$A130)*(preteur=$C130),encours)</f>
        <v>19992952</v>
      </c>
      <c r="W130" s="55">
        <f t="shared" ref="W130:W185" si="50">SUMPRODUCT((annee=$A130)*(preteur=$C130),encours_moyen)</f>
        <v>20225849.449534245</v>
      </c>
      <c r="X130" s="14">
        <f>SUMPRODUCT((Annee_debut=$A130)*(emprunts!$C$2:$C$149=$C130),fraction_annee_absente)</f>
        <v>0</v>
      </c>
      <c r="Z130" s="14">
        <f t="shared" si="36"/>
        <v>20225849.829534244</v>
      </c>
      <c r="AA130" s="12">
        <f t="shared" ref="AA130:AA193" si="51">G130/Z130</f>
        <v>3.2460484752601305E-2</v>
      </c>
    </row>
    <row r="131" spans="1:27">
      <c r="A131">
        <v>2011</v>
      </c>
      <c r="B131" s="1" t="s">
        <v>167</v>
      </c>
      <c r="C131" s="17" t="str">
        <f t="shared" si="41"/>
        <v>Crédit Foncier</v>
      </c>
      <c r="D131" s="2">
        <v>0</v>
      </c>
      <c r="E131" s="14">
        <v>0</v>
      </c>
      <c r="F131" s="14">
        <v>0</v>
      </c>
      <c r="G131" s="14">
        <v>0</v>
      </c>
      <c r="H131" s="14">
        <v>0</v>
      </c>
      <c r="I131" s="14">
        <f t="shared" si="37"/>
        <v>0</v>
      </c>
      <c r="K131" s="12" t="str">
        <f t="shared" si="42"/>
        <v/>
      </c>
      <c r="L131" s="1" t="str">
        <f t="shared" si="43"/>
        <v>2011_0014</v>
      </c>
      <c r="M131" s="14" t="str">
        <f t="shared" si="44"/>
        <v/>
      </c>
      <c r="O131" s="55">
        <f t="shared" si="40"/>
        <v>0</v>
      </c>
      <c r="P131" s="55"/>
      <c r="Q131" s="55">
        <f t="shared" si="45"/>
        <v>0</v>
      </c>
      <c r="R131" s="55">
        <f t="shared" si="46"/>
        <v>0</v>
      </c>
      <c r="S131" s="55">
        <f t="shared" si="47"/>
        <v>0</v>
      </c>
      <c r="T131" s="55">
        <f t="shared" si="48"/>
        <v>0</v>
      </c>
      <c r="U131" s="55">
        <f t="shared" ref="U131:U185" si="52">E131-O131</f>
        <v>0</v>
      </c>
      <c r="V131" s="55">
        <f t="shared" si="49"/>
        <v>0</v>
      </c>
      <c r="W131" s="55">
        <f t="shared" si="50"/>
        <v>0</v>
      </c>
      <c r="X131" s="14">
        <f>SUMPRODUCT((Annee_debut=$A131)*(emprunts!$C$2:$C$149=$C131),fraction_annee_absente)</f>
        <v>0</v>
      </c>
      <c r="Z131" s="14">
        <f t="shared" ref="Z131:Z162" si="53">W131+(U131+(H131-R131)/2)</f>
        <v>0</v>
      </c>
      <c r="AA131" s="12" t="e">
        <f t="shared" si="51"/>
        <v>#DIV/0!</v>
      </c>
    </row>
    <row r="132" spans="1:27">
      <c r="A132">
        <v>2011</v>
      </c>
      <c r="B132" s="1" t="s">
        <v>168</v>
      </c>
      <c r="C132" s="17" t="str">
        <f t="shared" si="41"/>
        <v>Auxifip CEPME</v>
      </c>
      <c r="D132" s="2">
        <v>0</v>
      </c>
      <c r="E132" s="14">
        <v>0</v>
      </c>
      <c r="F132" s="14">
        <v>0</v>
      </c>
      <c r="G132" s="14">
        <v>0</v>
      </c>
      <c r="H132" s="14">
        <v>0</v>
      </c>
      <c r="I132" s="14">
        <f t="shared" ref="I132:I137" si="54">F132-SUM(G132:H132)</f>
        <v>0</v>
      </c>
      <c r="K132" s="12" t="str">
        <f t="shared" si="42"/>
        <v/>
      </c>
      <c r="L132" s="1" t="str">
        <f t="shared" si="43"/>
        <v>2011_0015</v>
      </c>
      <c r="M132" s="14" t="str">
        <f t="shared" si="44"/>
        <v/>
      </c>
      <c r="O132" s="55">
        <f t="shared" si="40"/>
        <v>0</v>
      </c>
      <c r="P132" s="55"/>
      <c r="Q132" s="55">
        <f t="shared" si="45"/>
        <v>0</v>
      </c>
      <c r="R132" s="55">
        <f t="shared" si="46"/>
        <v>0</v>
      </c>
      <c r="S132" s="55">
        <f t="shared" si="47"/>
        <v>0</v>
      </c>
      <c r="T132" s="55">
        <f t="shared" si="48"/>
        <v>0</v>
      </c>
      <c r="U132" s="55">
        <f t="shared" si="52"/>
        <v>0</v>
      </c>
      <c r="V132" s="55">
        <f t="shared" si="49"/>
        <v>0</v>
      </c>
      <c r="W132" s="55">
        <f t="shared" si="50"/>
        <v>0</v>
      </c>
      <c r="X132" s="14">
        <f>SUMPRODUCT((Annee_debut=$A132)*(emprunts!$C$2:$C$149=$C132),fraction_annee_absente)</f>
        <v>0</v>
      </c>
      <c r="Z132" s="14">
        <f t="shared" si="53"/>
        <v>0</v>
      </c>
      <c r="AA132" s="12" t="e">
        <f t="shared" si="51"/>
        <v>#DIV/0!</v>
      </c>
    </row>
    <row r="133" spans="1:27">
      <c r="A133">
        <v>2011</v>
      </c>
      <c r="B133" s="1" t="s">
        <v>169</v>
      </c>
      <c r="C133" s="17" t="str">
        <f t="shared" si="41"/>
        <v>Natixis</v>
      </c>
      <c r="D133" s="2">
        <v>0</v>
      </c>
      <c r="E133" s="14">
        <v>0</v>
      </c>
      <c r="F133" s="14">
        <v>0</v>
      </c>
      <c r="G133" s="14">
        <v>0</v>
      </c>
      <c r="H133" s="14">
        <v>0</v>
      </c>
      <c r="I133" s="14">
        <f t="shared" si="54"/>
        <v>0</v>
      </c>
      <c r="K133" s="12" t="str">
        <f t="shared" si="42"/>
        <v/>
      </c>
      <c r="L133" s="1" t="str">
        <f t="shared" si="43"/>
        <v>2011_0016</v>
      </c>
      <c r="M133" s="14" t="str">
        <f t="shared" si="44"/>
        <v/>
      </c>
      <c r="O133" s="55">
        <f t="shared" si="40"/>
        <v>0</v>
      </c>
      <c r="P133" s="55"/>
      <c r="Q133" s="55">
        <f t="shared" si="45"/>
        <v>0</v>
      </c>
      <c r="R133" s="55">
        <f t="shared" si="46"/>
        <v>0</v>
      </c>
      <c r="S133" s="55">
        <f t="shared" si="47"/>
        <v>0</v>
      </c>
      <c r="T133" s="55">
        <f t="shared" si="48"/>
        <v>0</v>
      </c>
      <c r="U133" s="55">
        <f t="shared" si="52"/>
        <v>0</v>
      </c>
      <c r="V133" s="55">
        <f t="shared" si="49"/>
        <v>0</v>
      </c>
      <c r="W133" s="55">
        <f t="shared" si="50"/>
        <v>0</v>
      </c>
      <c r="X133" s="14">
        <f>SUMPRODUCT((Annee_debut=$A133)*(emprunts!$C$2:$C$149=$C133),fraction_annee_absente)</f>
        <v>0</v>
      </c>
      <c r="Z133" s="14">
        <f t="shared" si="53"/>
        <v>0</v>
      </c>
      <c r="AA133" s="12" t="e">
        <f t="shared" si="51"/>
        <v>#DIV/0!</v>
      </c>
    </row>
    <row r="134" spans="1:27">
      <c r="A134">
        <v>2011</v>
      </c>
      <c r="B134" s="1" t="s">
        <v>171</v>
      </c>
      <c r="C134" s="17" t="str">
        <f t="shared" si="41"/>
        <v>Deutsche Hypothekenbank</v>
      </c>
      <c r="D134" s="2">
        <v>0</v>
      </c>
      <c r="E134" s="14">
        <v>0</v>
      </c>
      <c r="F134" s="14">
        <v>0</v>
      </c>
      <c r="G134" s="14">
        <v>0</v>
      </c>
      <c r="H134" s="14">
        <v>0</v>
      </c>
      <c r="I134" s="14">
        <f t="shared" si="54"/>
        <v>0</v>
      </c>
      <c r="K134" s="12" t="str">
        <f t="shared" si="42"/>
        <v/>
      </c>
      <c r="L134" s="1" t="str">
        <f t="shared" si="43"/>
        <v>2011_0022</v>
      </c>
      <c r="M134" s="14" t="str">
        <f t="shared" si="44"/>
        <v/>
      </c>
      <c r="O134" s="55">
        <f t="shared" si="40"/>
        <v>0</v>
      </c>
      <c r="P134" s="55"/>
      <c r="Q134" s="55">
        <f t="shared" si="45"/>
        <v>0</v>
      </c>
      <c r="R134" s="55">
        <f t="shared" si="46"/>
        <v>0</v>
      </c>
      <c r="S134" s="55">
        <f t="shared" si="47"/>
        <v>0</v>
      </c>
      <c r="T134" s="55">
        <f t="shared" si="48"/>
        <v>0</v>
      </c>
      <c r="U134" s="55">
        <f t="shared" si="52"/>
        <v>0</v>
      </c>
      <c r="V134" s="55">
        <f t="shared" si="49"/>
        <v>0</v>
      </c>
      <c r="W134" s="55">
        <f t="shared" si="50"/>
        <v>0</v>
      </c>
      <c r="X134" s="14">
        <f>SUMPRODUCT((Annee_debut=$A134)*(emprunts!$C$2:$C$149=$C134),fraction_annee_absente)</f>
        <v>0</v>
      </c>
      <c r="Z134" s="14">
        <f t="shared" si="53"/>
        <v>0</v>
      </c>
      <c r="AA134" s="12" t="e">
        <f t="shared" si="51"/>
        <v>#DIV/0!</v>
      </c>
    </row>
    <row r="135" spans="1:27">
      <c r="A135">
        <v>2011</v>
      </c>
      <c r="B135" s="1" t="s">
        <v>173</v>
      </c>
      <c r="C135" s="17" t="str">
        <f t="shared" si="41"/>
        <v>Crédit Agricole</v>
      </c>
      <c r="D135" s="2">
        <v>23097112.84</v>
      </c>
      <c r="E135" s="14">
        <v>14035598.960000001</v>
      </c>
      <c r="F135" s="14">
        <v>1807233.85</v>
      </c>
      <c r="G135" s="14">
        <v>413597.33</v>
      </c>
      <c r="H135" s="14">
        <v>1371624.71</v>
      </c>
      <c r="I135" s="14">
        <f t="shared" si="54"/>
        <v>22011.810000000056</v>
      </c>
      <c r="K135" s="12">
        <f t="shared" si="42"/>
        <v>2.6106273730221861E-2</v>
      </c>
      <c r="L135" s="1" t="str">
        <f t="shared" si="43"/>
        <v>2011_0023</v>
      </c>
      <c r="M135" s="14">
        <f t="shared" si="44"/>
        <v>51775.559999998659</v>
      </c>
      <c r="O135" s="55">
        <f t="shared" si="40"/>
        <v>14035599</v>
      </c>
      <c r="P135" s="55"/>
      <c r="Q135" s="55">
        <f t="shared" si="45"/>
        <v>411596.32999999996</v>
      </c>
      <c r="R135" s="55">
        <f t="shared" si="46"/>
        <v>1371624.71</v>
      </c>
      <c r="S135" s="55">
        <f t="shared" si="47"/>
        <v>0</v>
      </c>
      <c r="T135" s="55">
        <f t="shared" si="48"/>
        <v>175142</v>
      </c>
      <c r="U135" s="55">
        <f t="shared" si="52"/>
        <v>-3.9999999105930328E-2</v>
      </c>
      <c r="V135" s="55">
        <f t="shared" si="49"/>
        <v>14035599</v>
      </c>
      <c r="W135" s="55">
        <f t="shared" si="50"/>
        <v>14681078.721150685</v>
      </c>
      <c r="X135" s="14">
        <f>SUMPRODUCT((Annee_debut=$A135)*(emprunts!$C$2:$C$149=$C135),fraction_annee_absente)</f>
        <v>0</v>
      </c>
      <c r="Z135" s="14">
        <f t="shared" si="53"/>
        <v>14681078.681150686</v>
      </c>
      <c r="AA135" s="12">
        <f t="shared" si="51"/>
        <v>2.8172134962468762E-2</v>
      </c>
    </row>
    <row r="136" spans="1:27">
      <c r="A136">
        <v>2011</v>
      </c>
      <c r="B136" s="1" t="s">
        <v>172</v>
      </c>
      <c r="C136" s="17" t="str">
        <f t="shared" si="41"/>
        <v>Rheinboden Hypothekenbank</v>
      </c>
      <c r="D136" s="2">
        <v>0</v>
      </c>
      <c r="E136" s="14">
        <v>0</v>
      </c>
      <c r="F136" s="14">
        <v>0</v>
      </c>
      <c r="G136" s="14">
        <v>0</v>
      </c>
      <c r="H136" s="14">
        <v>0</v>
      </c>
      <c r="I136" s="14">
        <f t="shared" si="54"/>
        <v>0</v>
      </c>
      <c r="K136" s="12" t="str">
        <f t="shared" si="42"/>
        <v/>
      </c>
      <c r="L136" s="1" t="str">
        <f t="shared" si="43"/>
        <v>2011_0025</v>
      </c>
      <c r="M136" s="14" t="str">
        <f t="shared" si="44"/>
        <v/>
      </c>
      <c r="O136" s="55">
        <f t="shared" si="40"/>
        <v>0</v>
      </c>
      <c r="P136" s="55"/>
      <c r="Q136" s="55">
        <f t="shared" si="45"/>
        <v>0</v>
      </c>
      <c r="R136" s="55">
        <f t="shared" si="46"/>
        <v>0</v>
      </c>
      <c r="S136" s="55">
        <f t="shared" si="47"/>
        <v>0</v>
      </c>
      <c r="T136" s="55">
        <f t="shared" si="48"/>
        <v>0</v>
      </c>
      <c r="U136" s="55">
        <f t="shared" si="52"/>
        <v>0</v>
      </c>
      <c r="V136" s="55">
        <f t="shared" si="49"/>
        <v>0</v>
      </c>
      <c r="W136" s="55">
        <f t="shared" si="50"/>
        <v>0</v>
      </c>
      <c r="X136" s="14">
        <f>SUMPRODUCT((Annee_debut=$A136)*(emprunts!$C$2:$C$149=$C136),fraction_annee_absente)</f>
        <v>0</v>
      </c>
      <c r="Z136" s="14">
        <f t="shared" si="53"/>
        <v>0</v>
      </c>
      <c r="AA136" s="12" t="e">
        <f t="shared" si="51"/>
        <v>#DIV/0!</v>
      </c>
    </row>
    <row r="137" spans="1:27">
      <c r="A137">
        <v>2011</v>
      </c>
      <c r="B137" s="1" t="s">
        <v>277</v>
      </c>
      <c r="C137" s="17" t="str">
        <f t="shared" si="41"/>
        <v>Arkea</v>
      </c>
      <c r="D137" s="2">
        <v>10000000</v>
      </c>
      <c r="E137" s="14">
        <v>9565444.8499999996</v>
      </c>
      <c r="F137" s="14">
        <v>578775.31000000006</v>
      </c>
      <c r="G137" s="14">
        <v>144220.16</v>
      </c>
      <c r="H137" s="14">
        <v>434555.15</v>
      </c>
      <c r="I137" s="14">
        <f t="shared" si="54"/>
        <v>0</v>
      </c>
      <c r="K137" s="12">
        <f t="shared" si="42"/>
        <v>1.4216978508479059E-2</v>
      </c>
      <c r="L137" s="1" t="str">
        <f t="shared" si="43"/>
        <v>2011_Arkea</v>
      </c>
      <c r="M137" s="14">
        <f t="shared" si="44"/>
        <v>6396.0500000007451</v>
      </c>
      <c r="O137" s="55">
        <f t="shared" si="40"/>
        <v>9565445</v>
      </c>
      <c r="P137" s="55"/>
      <c r="Q137" s="55">
        <f t="shared" si="45"/>
        <v>144220.16</v>
      </c>
      <c r="R137" s="55">
        <f t="shared" si="46"/>
        <v>434555.15</v>
      </c>
      <c r="S137" s="55">
        <f t="shared" si="47"/>
        <v>0</v>
      </c>
      <c r="T137" s="55">
        <f t="shared" si="48"/>
        <v>32715.86</v>
      </c>
      <c r="U137" s="55">
        <f t="shared" si="52"/>
        <v>-0.15000000037252903</v>
      </c>
      <c r="V137" s="55">
        <f t="shared" si="49"/>
        <v>9565445</v>
      </c>
      <c r="W137" s="55">
        <f t="shared" si="50"/>
        <v>9755920.5953424647</v>
      </c>
      <c r="X137" s="14">
        <f>SUMPRODUCT((Annee_debut=$A137)*(emprunts!$C$2:$C$149=$C137),fraction_annee_absente)</f>
        <v>0</v>
      </c>
      <c r="Z137" s="14">
        <f t="shared" si="53"/>
        <v>9755920.4453424644</v>
      </c>
      <c r="AA137" s="12">
        <f t="shared" si="51"/>
        <v>1.4782834772791898E-2</v>
      </c>
    </row>
    <row r="138" spans="1:27">
      <c r="A138">
        <v>2012</v>
      </c>
      <c r="B138" s="1" t="s">
        <v>162</v>
      </c>
      <c r="C138" s="17" t="str">
        <f t="shared" ref="C138:C149" si="55">VLOOKUP(B138,preteurs,2,FALSE)</f>
        <v>CDC</v>
      </c>
      <c r="E138" s="14">
        <f t="shared" ref="E138:E165" si="56">SUMPRODUCT((preteur=$C138)*(annee=$A138),encours)</f>
        <v>7811474</v>
      </c>
      <c r="F138" s="14">
        <f t="shared" ref="F138:F165" si="57">SUMPRODUCT((preteur=$C138)*(annee=$A138),annuite)</f>
        <v>1159807.8899999999</v>
      </c>
      <c r="G138" s="14">
        <f t="shared" ref="G138:G165" si="58">SUMPRODUCT((preteur=$C138)*(annee=$A138),interet)</f>
        <v>168765.19</v>
      </c>
      <c r="H138" s="14">
        <f t="shared" ref="H138:H165" si="59">SUMPRODUCT((preteur=$C138)*(annee=$A138),amortissement)</f>
        <v>991042.7</v>
      </c>
      <c r="I138" s="14">
        <f t="shared" ref="I138:I149" si="60">F138-SUM(G138:H138)</f>
        <v>0</v>
      </c>
      <c r="K138" s="12">
        <f t="shared" si="42"/>
        <v>1.8811714097192414E-2</v>
      </c>
      <c r="L138" s="1" t="str">
        <f t="shared" si="43"/>
        <v>2012_0001</v>
      </c>
      <c r="M138" s="14">
        <f t="shared" si="44"/>
        <v>0.60999999940395355</v>
      </c>
      <c r="O138" s="55">
        <f t="shared" si="40"/>
        <v>7811474</v>
      </c>
      <c r="P138" s="55"/>
      <c r="Q138" s="55">
        <f t="shared" si="45"/>
        <v>168765.19</v>
      </c>
      <c r="R138" s="55">
        <f t="shared" si="46"/>
        <v>991042.7</v>
      </c>
      <c r="S138" s="55">
        <f t="shared" si="47"/>
        <v>0</v>
      </c>
      <c r="T138" s="55">
        <f t="shared" si="48"/>
        <v>48603.4</v>
      </c>
      <c r="U138" s="55">
        <f t="shared" si="52"/>
        <v>0</v>
      </c>
      <c r="V138" s="55">
        <f t="shared" si="49"/>
        <v>7811474</v>
      </c>
      <c r="W138" s="55">
        <f t="shared" si="50"/>
        <v>6879236.6621643845</v>
      </c>
      <c r="X138" s="14">
        <f>SUMPRODUCT((Annee_debut=$A138)*(emprunts!$C$2:$C$149=$C138),fraction_annee_absente)</f>
        <v>1404109.5890410959</v>
      </c>
      <c r="Z138" s="14">
        <f t="shared" si="53"/>
        <v>6879236.6621643845</v>
      </c>
      <c r="AA138" s="12">
        <f t="shared" si="51"/>
        <v>2.4532546020433341E-2</v>
      </c>
    </row>
    <row r="139" spans="1:27">
      <c r="A139">
        <v>2012</v>
      </c>
      <c r="B139" s="1" t="s">
        <v>163</v>
      </c>
      <c r="C139" s="17" t="str">
        <f t="shared" si="55"/>
        <v>Dexia CL</v>
      </c>
      <c r="E139" s="14">
        <f t="shared" si="56"/>
        <v>152800107.48000002</v>
      </c>
      <c r="F139" s="14">
        <f t="shared" si="57"/>
        <v>18141032.579999998</v>
      </c>
      <c r="G139" s="14">
        <f t="shared" si="58"/>
        <v>10220067.949999999</v>
      </c>
      <c r="H139" s="14">
        <f t="shared" si="59"/>
        <v>7920964.6300000018</v>
      </c>
      <c r="I139" s="14">
        <f t="shared" si="60"/>
        <v>0</v>
      </c>
      <c r="K139" s="12">
        <f t="shared" si="42"/>
        <v>5.9787058553679794E-2</v>
      </c>
      <c r="L139" s="1" t="str">
        <f t="shared" si="43"/>
        <v>2012_0002</v>
      </c>
      <c r="M139" s="14">
        <f t="shared" si="44"/>
        <v>5364761.1599999666</v>
      </c>
      <c r="O139" s="55">
        <f t="shared" si="40"/>
        <v>152800107.48000002</v>
      </c>
      <c r="P139" s="55"/>
      <c r="Q139" s="55">
        <f t="shared" si="45"/>
        <v>10220067.949999999</v>
      </c>
      <c r="R139" s="55">
        <f t="shared" si="46"/>
        <v>7920964.6300000018</v>
      </c>
      <c r="S139" s="55">
        <f t="shared" si="47"/>
        <v>0</v>
      </c>
      <c r="T139" s="55">
        <f t="shared" si="48"/>
        <v>4521556.2699999996</v>
      </c>
      <c r="U139" s="55">
        <f t="shared" si="52"/>
        <v>0</v>
      </c>
      <c r="V139" s="55">
        <f t="shared" si="49"/>
        <v>152800107.48000002</v>
      </c>
      <c r="W139" s="55">
        <f t="shared" si="50"/>
        <v>146746798.92921919</v>
      </c>
      <c r="X139" s="14">
        <f>SUMPRODUCT((Annee_debut=$A139)*(emprunts!$C$2:$C$149=$C139),fraction_annee_absente)</f>
        <v>4629587.5407397253</v>
      </c>
      <c r="Z139" s="14">
        <f t="shared" si="53"/>
        <v>146746798.92921919</v>
      </c>
      <c r="AA139" s="12">
        <f t="shared" si="51"/>
        <v>6.964423091047782E-2</v>
      </c>
    </row>
    <row r="140" spans="1:27">
      <c r="A140">
        <v>2012</v>
      </c>
      <c r="B140" s="1" t="s">
        <v>164</v>
      </c>
      <c r="C140" s="17" t="str">
        <f t="shared" si="55"/>
        <v>Caisse d'Épargne</v>
      </c>
      <c r="E140" s="14">
        <f t="shared" si="56"/>
        <v>55569547.519999996</v>
      </c>
      <c r="F140" s="14">
        <f t="shared" si="57"/>
        <v>3302064.42</v>
      </c>
      <c r="G140" s="14">
        <f t="shared" si="58"/>
        <v>1498155.2100000002</v>
      </c>
      <c r="H140" s="14">
        <f t="shared" si="59"/>
        <v>1803909.21</v>
      </c>
      <c r="I140" s="14">
        <f t="shared" si="60"/>
        <v>0</v>
      </c>
      <c r="K140" s="12">
        <f t="shared" si="42"/>
        <v>2.5447837431848655E-2</v>
      </c>
      <c r="L140" s="1" t="str">
        <f t="shared" si="43"/>
        <v>2012_0003</v>
      </c>
      <c r="M140" s="14">
        <f t="shared" si="44"/>
        <v>20146932.310000002</v>
      </c>
      <c r="O140" s="55">
        <f t="shared" si="40"/>
        <v>55569547.519999996</v>
      </c>
      <c r="P140" s="55"/>
      <c r="Q140" s="55">
        <f t="shared" si="45"/>
        <v>1498155.2100000002</v>
      </c>
      <c r="R140" s="55">
        <f t="shared" si="46"/>
        <v>1803909.21</v>
      </c>
      <c r="S140" s="55">
        <f t="shared" si="47"/>
        <v>0</v>
      </c>
      <c r="T140" s="55">
        <f t="shared" si="48"/>
        <v>1876099.98</v>
      </c>
      <c r="U140" s="55">
        <f t="shared" si="52"/>
        <v>0</v>
      </c>
      <c r="V140" s="55">
        <f t="shared" si="49"/>
        <v>55569547.519999996</v>
      </c>
      <c r="W140" s="55">
        <f t="shared" si="50"/>
        <v>42373221.098205477</v>
      </c>
      <c r="X140" s="14">
        <f>SUMPRODUCT((Annee_debut=$A140)*(emprunts!$C$2:$C$149=$C140),fraction_annee_absente)</f>
        <v>14208147.192876711</v>
      </c>
      <c r="Z140" s="14">
        <f t="shared" si="53"/>
        <v>42373221.098205477</v>
      </c>
      <c r="AA140" s="12">
        <f t="shared" si="51"/>
        <v>3.5356179473064596E-2</v>
      </c>
    </row>
    <row r="141" spans="1:27">
      <c r="A141">
        <v>2012</v>
      </c>
      <c r="B141" s="1" t="s">
        <v>165</v>
      </c>
      <c r="C141" s="17" t="str">
        <f t="shared" si="55"/>
        <v>Crédit Mutuel</v>
      </c>
      <c r="E141" s="14">
        <f t="shared" si="56"/>
        <v>482914</v>
      </c>
      <c r="F141" s="14">
        <f t="shared" si="57"/>
        <v>206183.3</v>
      </c>
      <c r="G141" s="14">
        <f t="shared" si="58"/>
        <v>13719.14</v>
      </c>
      <c r="H141" s="14">
        <f t="shared" si="59"/>
        <v>192464.15999999997</v>
      </c>
      <c r="I141" s="14">
        <f t="shared" si="60"/>
        <v>0</v>
      </c>
      <c r="K141" s="12">
        <f t="shared" si="42"/>
        <v>1.9908857573524084E-2</v>
      </c>
      <c r="L141" s="1" t="str">
        <f t="shared" si="43"/>
        <v>2012_0004</v>
      </c>
      <c r="M141" s="14">
        <f t="shared" si="44"/>
        <v>-0.84000000002561137</v>
      </c>
      <c r="O141" s="55">
        <f t="shared" si="40"/>
        <v>482914</v>
      </c>
      <c r="P141" s="55"/>
      <c r="Q141" s="55">
        <f t="shared" si="45"/>
        <v>13719.14</v>
      </c>
      <c r="R141" s="55">
        <f t="shared" si="46"/>
        <v>192464.15999999997</v>
      </c>
      <c r="S141" s="55">
        <f t="shared" si="47"/>
        <v>0</v>
      </c>
      <c r="T141" s="55">
        <f t="shared" si="48"/>
        <v>3671.18</v>
      </c>
      <c r="U141" s="55">
        <f t="shared" si="52"/>
        <v>0</v>
      </c>
      <c r="V141" s="55">
        <f t="shared" si="49"/>
        <v>482914</v>
      </c>
      <c r="W141" s="55">
        <f t="shared" si="50"/>
        <v>579146.08000000007</v>
      </c>
      <c r="X141" s="14">
        <f>SUMPRODUCT((Annee_debut=$A141)*(emprunts!$C$2:$C$149=$C141),fraction_annee_absente)</f>
        <v>0</v>
      </c>
      <c r="Z141" s="14">
        <f t="shared" si="53"/>
        <v>579146.08000000007</v>
      </c>
      <c r="AA141" s="12">
        <f t="shared" si="51"/>
        <v>2.3688565758746043E-2</v>
      </c>
    </row>
    <row r="142" spans="1:27">
      <c r="A142">
        <v>2012</v>
      </c>
      <c r="B142" s="1" t="s">
        <v>166</v>
      </c>
      <c r="C142" s="17" t="str">
        <f t="shared" si="55"/>
        <v>Société générale</v>
      </c>
      <c r="E142" s="14">
        <f t="shared" si="56"/>
        <v>19293427</v>
      </c>
      <c r="F142" s="14">
        <f t="shared" si="57"/>
        <v>1313204.03</v>
      </c>
      <c r="G142" s="14">
        <f t="shared" si="58"/>
        <v>578080.65</v>
      </c>
      <c r="H142" s="14">
        <f t="shared" si="59"/>
        <v>735123.38</v>
      </c>
      <c r="I142" s="14">
        <f t="shared" si="60"/>
        <v>0</v>
      </c>
      <c r="K142" s="12">
        <f t="shared" si="42"/>
        <v>2.8053137320622954E-2</v>
      </c>
      <c r="L142" s="1" t="str">
        <f t="shared" si="43"/>
        <v>2012_0005</v>
      </c>
      <c r="M142" s="14">
        <f t="shared" si="44"/>
        <v>-0.62000000104308128</v>
      </c>
      <c r="O142" s="55">
        <f t="shared" si="40"/>
        <v>19293427</v>
      </c>
      <c r="P142" s="55"/>
      <c r="Q142" s="55">
        <f t="shared" si="45"/>
        <v>578080.65</v>
      </c>
      <c r="R142" s="55">
        <f t="shared" si="46"/>
        <v>735123.38</v>
      </c>
      <c r="S142" s="55">
        <f t="shared" si="47"/>
        <v>0</v>
      </c>
      <c r="T142" s="55">
        <f t="shared" si="48"/>
        <v>288718.57</v>
      </c>
      <c r="U142" s="55">
        <f t="shared" si="52"/>
        <v>0</v>
      </c>
      <c r="V142" s="55">
        <f t="shared" si="49"/>
        <v>19293427</v>
      </c>
      <c r="W142" s="55">
        <f t="shared" si="50"/>
        <v>19660988.689999998</v>
      </c>
      <c r="X142" s="14">
        <f>SUMPRODUCT((Annee_debut=$A142)*(emprunts!$C$2:$C$149=$C142),fraction_annee_absente)</f>
        <v>0</v>
      </c>
      <c r="Z142" s="14">
        <f t="shared" si="53"/>
        <v>19660988.689999998</v>
      </c>
      <c r="AA142" s="12">
        <f t="shared" si="51"/>
        <v>2.9402420148587152E-2</v>
      </c>
    </row>
    <row r="143" spans="1:27">
      <c r="A143">
        <v>2012</v>
      </c>
      <c r="B143" s="1" t="s">
        <v>167</v>
      </c>
      <c r="C143" s="17" t="str">
        <f t="shared" si="55"/>
        <v>Crédit Foncier</v>
      </c>
      <c r="E143" s="14">
        <f t="shared" si="56"/>
        <v>0</v>
      </c>
      <c r="F143" s="14">
        <f t="shared" si="57"/>
        <v>0</v>
      </c>
      <c r="G143" s="14">
        <f t="shared" si="58"/>
        <v>0</v>
      </c>
      <c r="H143" s="14">
        <f t="shared" si="59"/>
        <v>0</v>
      </c>
      <c r="I143" s="14">
        <f t="shared" si="60"/>
        <v>0</v>
      </c>
      <c r="K143" s="12" t="str">
        <f t="shared" si="42"/>
        <v/>
      </c>
      <c r="L143" s="1" t="str">
        <f t="shared" si="43"/>
        <v>2012_0014</v>
      </c>
      <c r="M143" s="14" t="str">
        <f t="shared" si="44"/>
        <v/>
      </c>
      <c r="O143" s="55">
        <f t="shared" si="40"/>
        <v>0</v>
      </c>
      <c r="P143" s="55"/>
      <c r="Q143" s="55">
        <f t="shared" si="45"/>
        <v>0</v>
      </c>
      <c r="R143" s="55">
        <f t="shared" si="46"/>
        <v>0</v>
      </c>
      <c r="S143" s="55">
        <f t="shared" si="47"/>
        <v>0</v>
      </c>
      <c r="T143" s="55">
        <f t="shared" si="48"/>
        <v>0</v>
      </c>
      <c r="U143" s="55">
        <f t="shared" si="52"/>
        <v>0</v>
      </c>
      <c r="V143" s="55">
        <f t="shared" si="49"/>
        <v>0</v>
      </c>
      <c r="W143" s="55">
        <f t="shared" si="50"/>
        <v>0</v>
      </c>
      <c r="X143" s="14">
        <f>SUMPRODUCT((Annee_debut=$A143)*(emprunts!$C$2:$C$149=$C143),fraction_annee_absente)</f>
        <v>0</v>
      </c>
      <c r="Z143" s="14">
        <f t="shared" si="53"/>
        <v>0</v>
      </c>
      <c r="AA143" s="12" t="e">
        <f t="shared" si="51"/>
        <v>#DIV/0!</v>
      </c>
    </row>
    <row r="144" spans="1:27">
      <c r="A144">
        <v>2012</v>
      </c>
      <c r="B144" s="1" t="s">
        <v>168</v>
      </c>
      <c r="C144" s="17" t="str">
        <f t="shared" si="55"/>
        <v>Auxifip CEPME</v>
      </c>
      <c r="E144" s="14">
        <f t="shared" si="56"/>
        <v>0</v>
      </c>
      <c r="F144" s="14">
        <f t="shared" si="57"/>
        <v>0</v>
      </c>
      <c r="G144" s="14">
        <f t="shared" si="58"/>
        <v>0</v>
      </c>
      <c r="H144" s="14">
        <f t="shared" si="59"/>
        <v>0</v>
      </c>
      <c r="I144" s="14">
        <f t="shared" si="60"/>
        <v>0</v>
      </c>
      <c r="K144" s="12" t="str">
        <f t="shared" si="42"/>
        <v/>
      </c>
      <c r="L144" s="1" t="str">
        <f t="shared" si="43"/>
        <v>2012_0015</v>
      </c>
      <c r="M144" s="14" t="str">
        <f t="shared" si="44"/>
        <v/>
      </c>
      <c r="O144" s="55">
        <f t="shared" si="40"/>
        <v>0</v>
      </c>
      <c r="P144" s="55"/>
      <c r="Q144" s="55">
        <f t="shared" si="45"/>
        <v>0</v>
      </c>
      <c r="R144" s="55">
        <f t="shared" si="46"/>
        <v>0</v>
      </c>
      <c r="S144" s="55">
        <f t="shared" si="47"/>
        <v>0</v>
      </c>
      <c r="T144" s="55">
        <f t="shared" si="48"/>
        <v>0</v>
      </c>
      <c r="U144" s="55">
        <f t="shared" si="52"/>
        <v>0</v>
      </c>
      <c r="V144" s="55">
        <f t="shared" si="49"/>
        <v>0</v>
      </c>
      <c r="W144" s="55">
        <f t="shared" si="50"/>
        <v>0</v>
      </c>
      <c r="X144" s="14">
        <f>SUMPRODUCT((Annee_debut=$A144)*(emprunts!$C$2:$C$149=$C144),fraction_annee_absente)</f>
        <v>0</v>
      </c>
      <c r="Z144" s="14">
        <f t="shared" si="53"/>
        <v>0</v>
      </c>
      <c r="AA144" s="12" t="e">
        <f t="shared" si="51"/>
        <v>#DIV/0!</v>
      </c>
    </row>
    <row r="145" spans="1:27">
      <c r="A145">
        <v>2012</v>
      </c>
      <c r="B145" s="1" t="s">
        <v>169</v>
      </c>
      <c r="C145" s="17" t="str">
        <f t="shared" si="55"/>
        <v>Natixis</v>
      </c>
      <c r="E145" s="14">
        <f t="shared" si="56"/>
        <v>0</v>
      </c>
      <c r="F145" s="14">
        <f t="shared" si="57"/>
        <v>0</v>
      </c>
      <c r="G145" s="14">
        <f t="shared" si="58"/>
        <v>0</v>
      </c>
      <c r="H145" s="14">
        <f t="shared" si="59"/>
        <v>0</v>
      </c>
      <c r="I145" s="14">
        <f t="shared" si="60"/>
        <v>0</v>
      </c>
      <c r="K145" s="12" t="str">
        <f t="shared" si="42"/>
        <v/>
      </c>
      <c r="L145" s="1" t="str">
        <f t="shared" si="43"/>
        <v>2012_0016</v>
      </c>
      <c r="M145" s="14" t="str">
        <f t="shared" si="44"/>
        <v/>
      </c>
      <c r="O145" s="55">
        <f t="shared" si="40"/>
        <v>0</v>
      </c>
      <c r="P145" s="55"/>
      <c r="Q145" s="55">
        <f t="shared" si="45"/>
        <v>0</v>
      </c>
      <c r="R145" s="55">
        <f t="shared" si="46"/>
        <v>0</v>
      </c>
      <c r="S145" s="55">
        <f t="shared" si="47"/>
        <v>0</v>
      </c>
      <c r="T145" s="55">
        <f t="shared" si="48"/>
        <v>0</v>
      </c>
      <c r="U145" s="55">
        <f t="shared" si="52"/>
        <v>0</v>
      </c>
      <c r="V145" s="55">
        <f t="shared" si="49"/>
        <v>0</v>
      </c>
      <c r="W145" s="55">
        <f t="shared" si="50"/>
        <v>0</v>
      </c>
      <c r="X145" s="14">
        <f>SUMPRODUCT((Annee_debut=$A145)*(emprunts!$C$2:$C$149=$C145),fraction_annee_absente)</f>
        <v>0</v>
      </c>
      <c r="Z145" s="14">
        <f t="shared" si="53"/>
        <v>0</v>
      </c>
      <c r="AA145" s="12" t="e">
        <f t="shared" si="51"/>
        <v>#DIV/0!</v>
      </c>
    </row>
    <row r="146" spans="1:27">
      <c r="A146">
        <v>2012</v>
      </c>
      <c r="B146" s="1" t="s">
        <v>171</v>
      </c>
      <c r="C146" s="17" t="str">
        <f t="shared" si="55"/>
        <v>Deutsche Hypothekenbank</v>
      </c>
      <c r="E146" s="14">
        <f t="shared" si="56"/>
        <v>0</v>
      </c>
      <c r="F146" s="14">
        <f t="shared" si="57"/>
        <v>0</v>
      </c>
      <c r="G146" s="14">
        <f t="shared" si="58"/>
        <v>0</v>
      </c>
      <c r="H146" s="14">
        <f t="shared" si="59"/>
        <v>0</v>
      </c>
      <c r="I146" s="14">
        <f t="shared" si="60"/>
        <v>0</v>
      </c>
      <c r="K146" s="12" t="str">
        <f t="shared" si="42"/>
        <v/>
      </c>
      <c r="L146" s="1" t="str">
        <f t="shared" si="43"/>
        <v>2012_0022</v>
      </c>
      <c r="M146" s="14" t="str">
        <f t="shared" si="44"/>
        <v/>
      </c>
      <c r="O146" s="55">
        <f t="shared" si="40"/>
        <v>0</v>
      </c>
      <c r="P146" s="55"/>
      <c r="Q146" s="55">
        <f t="shared" si="45"/>
        <v>0</v>
      </c>
      <c r="R146" s="55">
        <f t="shared" si="46"/>
        <v>0</v>
      </c>
      <c r="S146" s="55">
        <f t="shared" si="47"/>
        <v>0</v>
      </c>
      <c r="T146" s="55">
        <f t="shared" si="48"/>
        <v>0</v>
      </c>
      <c r="U146" s="55">
        <f t="shared" si="52"/>
        <v>0</v>
      </c>
      <c r="V146" s="55">
        <f t="shared" si="49"/>
        <v>0</v>
      </c>
      <c r="W146" s="55">
        <f t="shared" si="50"/>
        <v>0</v>
      </c>
      <c r="X146" s="14">
        <f>SUMPRODUCT((Annee_debut=$A146)*(emprunts!$C$2:$C$149=$C146),fraction_annee_absente)</f>
        <v>0</v>
      </c>
      <c r="Z146" s="14">
        <f t="shared" si="53"/>
        <v>0</v>
      </c>
      <c r="AA146" s="12" t="e">
        <f t="shared" si="51"/>
        <v>#DIV/0!</v>
      </c>
    </row>
    <row r="147" spans="1:27">
      <c r="A147">
        <v>2012</v>
      </c>
      <c r="B147" s="1" t="s">
        <v>173</v>
      </c>
      <c r="C147" s="17" t="str">
        <f t="shared" si="55"/>
        <v>Crédit Agricole</v>
      </c>
      <c r="E147" s="14">
        <f t="shared" si="56"/>
        <v>12614032</v>
      </c>
      <c r="F147" s="14">
        <f t="shared" si="57"/>
        <v>1738669.3800000001</v>
      </c>
      <c r="G147" s="14">
        <f t="shared" si="58"/>
        <v>265326.86</v>
      </c>
      <c r="H147" s="14">
        <f t="shared" si="59"/>
        <v>1473342.52</v>
      </c>
      <c r="I147" s="14">
        <f t="shared" si="60"/>
        <v>0</v>
      </c>
      <c r="K147" s="12">
        <f t="shared" si="42"/>
        <v>1.8486196638196898E-2</v>
      </c>
      <c r="L147" s="1" t="str">
        <f t="shared" si="43"/>
        <v>2012_0023</v>
      </c>
      <c r="M147" s="14">
        <f t="shared" si="44"/>
        <v>-1.4600000008940697</v>
      </c>
      <c r="O147" s="55">
        <f t="shared" si="40"/>
        <v>12614032</v>
      </c>
      <c r="P147" s="55"/>
      <c r="Q147" s="55">
        <f t="shared" si="45"/>
        <v>265326.86</v>
      </c>
      <c r="R147" s="55">
        <f t="shared" si="46"/>
        <v>1473342.52</v>
      </c>
      <c r="S147" s="55">
        <f t="shared" si="47"/>
        <v>0</v>
      </c>
      <c r="T147" s="55">
        <f t="shared" si="48"/>
        <v>108116.54000000001</v>
      </c>
      <c r="U147" s="55">
        <f t="shared" si="52"/>
        <v>0</v>
      </c>
      <c r="V147" s="55">
        <f t="shared" si="49"/>
        <v>12614032</v>
      </c>
      <c r="W147" s="55">
        <f t="shared" si="50"/>
        <v>13350703.26</v>
      </c>
      <c r="X147" s="14">
        <f>SUMPRODUCT((Annee_debut=$A147)*(emprunts!$C$2:$C$149=$C147),fraction_annee_absente)</f>
        <v>0</v>
      </c>
      <c r="Z147" s="14">
        <f t="shared" si="53"/>
        <v>13350703.26</v>
      </c>
      <c r="AA147" s="12">
        <f t="shared" si="51"/>
        <v>1.9873624245319344E-2</v>
      </c>
    </row>
    <row r="148" spans="1:27">
      <c r="A148">
        <v>2012</v>
      </c>
      <c r="B148" s="1" t="s">
        <v>172</v>
      </c>
      <c r="C148" s="17" t="str">
        <f t="shared" si="55"/>
        <v>Rheinboden Hypothekenbank</v>
      </c>
      <c r="E148" s="14">
        <f t="shared" si="56"/>
        <v>0</v>
      </c>
      <c r="F148" s="14">
        <f t="shared" si="57"/>
        <v>0</v>
      </c>
      <c r="G148" s="14">
        <f t="shared" si="58"/>
        <v>0</v>
      </c>
      <c r="H148" s="14">
        <f t="shared" si="59"/>
        <v>0</v>
      </c>
      <c r="I148" s="14">
        <f t="shared" si="60"/>
        <v>0</v>
      </c>
      <c r="K148" s="12" t="str">
        <f t="shared" si="42"/>
        <v/>
      </c>
      <c r="L148" s="1" t="str">
        <f t="shared" si="43"/>
        <v>2012_0025</v>
      </c>
      <c r="M148" s="14" t="str">
        <f t="shared" si="44"/>
        <v/>
      </c>
      <c r="O148" s="55">
        <f t="shared" si="40"/>
        <v>0</v>
      </c>
      <c r="P148" s="55"/>
      <c r="Q148" s="55">
        <f t="shared" si="45"/>
        <v>0</v>
      </c>
      <c r="R148" s="55">
        <f t="shared" si="46"/>
        <v>0</v>
      </c>
      <c r="S148" s="55">
        <f t="shared" si="47"/>
        <v>0</v>
      </c>
      <c r="T148" s="55">
        <f t="shared" si="48"/>
        <v>0</v>
      </c>
      <c r="U148" s="55">
        <f t="shared" si="52"/>
        <v>0</v>
      </c>
      <c r="V148" s="55">
        <f t="shared" si="49"/>
        <v>0</v>
      </c>
      <c r="W148" s="55">
        <f t="shared" si="50"/>
        <v>0</v>
      </c>
      <c r="X148" s="14">
        <f>SUMPRODUCT((Annee_debut=$A148)*(emprunts!$C$2:$C$149=$C148),fraction_annee_absente)</f>
        <v>0</v>
      </c>
      <c r="Z148" s="14">
        <f t="shared" si="53"/>
        <v>0</v>
      </c>
      <c r="AA148" s="12" t="e">
        <f t="shared" si="51"/>
        <v>#DIV/0!</v>
      </c>
    </row>
    <row r="149" spans="1:27">
      <c r="A149">
        <v>2012</v>
      </c>
      <c r="B149" s="1" t="s">
        <v>277</v>
      </c>
      <c r="C149" s="17" t="str">
        <f t="shared" si="55"/>
        <v>Arkea</v>
      </c>
      <c r="E149" s="14">
        <f t="shared" si="56"/>
        <v>9124585</v>
      </c>
      <c r="F149" s="14">
        <f t="shared" si="57"/>
        <v>508820.87</v>
      </c>
      <c r="G149" s="14">
        <f t="shared" si="58"/>
        <v>61564.97</v>
      </c>
      <c r="H149" s="14">
        <f t="shared" si="59"/>
        <v>447255.9</v>
      </c>
      <c r="I149" s="14">
        <f t="shared" si="60"/>
        <v>0</v>
      </c>
      <c r="K149" s="12">
        <f t="shared" si="42"/>
        <v>6.3907792146205922E-3</v>
      </c>
      <c r="L149" s="1" t="str">
        <f t="shared" si="43"/>
        <v>2012_Arkea</v>
      </c>
      <c r="M149" s="14">
        <f t="shared" si="44"/>
        <v>-9.999999962747097E-2</v>
      </c>
      <c r="O149" s="55">
        <f t="shared" si="40"/>
        <v>9124585</v>
      </c>
      <c r="P149" s="55"/>
      <c r="Q149" s="55">
        <f t="shared" si="45"/>
        <v>61564.97</v>
      </c>
      <c r="R149" s="55">
        <f t="shared" si="46"/>
        <v>447255.9</v>
      </c>
      <c r="S149" s="55">
        <f t="shared" si="47"/>
        <v>0</v>
      </c>
      <c r="T149" s="55">
        <f t="shared" si="48"/>
        <v>11743.78</v>
      </c>
      <c r="U149" s="55">
        <f t="shared" si="52"/>
        <v>0</v>
      </c>
      <c r="V149" s="55">
        <f t="shared" si="49"/>
        <v>9124585</v>
      </c>
      <c r="W149" s="55">
        <f t="shared" si="50"/>
        <v>9348212.9499999993</v>
      </c>
      <c r="X149" s="14">
        <f>SUMPRODUCT((Annee_debut=$A149)*(emprunts!$C$2:$C$149=$C149),fraction_annee_absente)</f>
        <v>0</v>
      </c>
      <c r="Z149" s="14">
        <f t="shared" si="53"/>
        <v>9348212.9499999993</v>
      </c>
      <c r="AA149" s="12">
        <f t="shared" si="51"/>
        <v>6.5857474930542748E-3</v>
      </c>
    </row>
    <row r="150" spans="1:27">
      <c r="A150">
        <v>2013</v>
      </c>
      <c r="B150" s="1" t="s">
        <v>162</v>
      </c>
      <c r="C150" s="17" t="str">
        <f t="shared" ref="C150:C161" si="61">VLOOKUP(B150,preteurs,2,FALSE)</f>
        <v>CDC</v>
      </c>
      <c r="E150" s="14">
        <f t="shared" si="56"/>
        <v>6822028</v>
      </c>
      <c r="F150" s="14">
        <f t="shared" si="57"/>
        <v>1156288.78</v>
      </c>
      <c r="G150" s="14">
        <f t="shared" si="58"/>
        <v>166842.16999999998</v>
      </c>
      <c r="H150" s="14">
        <f t="shared" si="59"/>
        <v>989446.60999999987</v>
      </c>
      <c r="I150" s="14">
        <f t="shared" ref="I150:I177" si="62">F150-SUM(G150:H150)</f>
        <v>0</v>
      </c>
      <c r="K150" s="12">
        <f t="shared" si="42"/>
        <v>2.091195105441777E-2</v>
      </c>
      <c r="L150" s="1" t="str">
        <f t="shared" si="43"/>
        <v>2013_0001</v>
      </c>
      <c r="M150" s="14">
        <f t="shared" si="44"/>
        <v>0.33999999985098839</v>
      </c>
      <c r="O150" s="55">
        <f t="shared" si="40"/>
        <v>6822028</v>
      </c>
      <c r="P150" s="55"/>
      <c r="Q150" s="55">
        <f t="shared" si="45"/>
        <v>166842.16999999998</v>
      </c>
      <c r="R150" s="55">
        <f t="shared" si="46"/>
        <v>989446.60999999987</v>
      </c>
      <c r="S150" s="55">
        <f t="shared" si="47"/>
        <v>0</v>
      </c>
      <c r="T150" s="55">
        <f t="shared" si="48"/>
        <v>49381.289999999994</v>
      </c>
      <c r="U150" s="55">
        <f t="shared" si="52"/>
        <v>0</v>
      </c>
      <c r="V150" s="55">
        <f t="shared" si="49"/>
        <v>6822028</v>
      </c>
      <c r="W150" s="55">
        <f t="shared" si="50"/>
        <v>7140237.6232328769</v>
      </c>
      <c r="X150" s="14">
        <f>SUMPRODUCT((Annee_debut=$A150)*(emprunts!$C$2:$C$149=$C150),fraction_annee_absente)</f>
        <v>0</v>
      </c>
      <c r="Z150" s="14">
        <f t="shared" si="53"/>
        <v>7140237.6232328769</v>
      </c>
      <c r="AA150" s="12">
        <f t="shared" si="51"/>
        <v>2.3366473050858923E-2</v>
      </c>
    </row>
    <row r="151" spans="1:27">
      <c r="A151">
        <v>2013</v>
      </c>
      <c r="B151" s="1" t="s">
        <v>163</v>
      </c>
      <c r="C151" s="17" t="str">
        <f t="shared" si="61"/>
        <v>Dexia CL</v>
      </c>
      <c r="E151" s="14">
        <f t="shared" si="56"/>
        <v>152649733</v>
      </c>
      <c r="F151" s="14">
        <f t="shared" si="57"/>
        <v>10692573.689999999</v>
      </c>
      <c r="G151" s="14">
        <f t="shared" si="58"/>
        <v>5177438.05</v>
      </c>
      <c r="H151" s="14">
        <f t="shared" si="59"/>
        <v>5515135.6400000006</v>
      </c>
      <c r="I151" s="14">
        <f t="shared" si="62"/>
        <v>0</v>
      </c>
      <c r="K151" s="12">
        <f t="shared" si="42"/>
        <v>3.1696858914978018E-2</v>
      </c>
      <c r="L151" s="1" t="str">
        <f t="shared" si="43"/>
        <v>2013_0002</v>
      </c>
      <c r="M151" s="14">
        <f t="shared" si="44"/>
        <v>36329999.110000014</v>
      </c>
      <c r="O151" s="55">
        <f t="shared" si="40"/>
        <v>152649733</v>
      </c>
      <c r="P151" s="55"/>
      <c r="Q151" s="55">
        <f t="shared" si="45"/>
        <v>5177438.05</v>
      </c>
      <c r="R151" s="55">
        <f t="shared" si="46"/>
        <v>5515135.6400000006</v>
      </c>
      <c r="S151" s="55">
        <f t="shared" si="47"/>
        <v>0</v>
      </c>
      <c r="T151" s="55">
        <f t="shared" si="48"/>
        <v>2437701.0500000003</v>
      </c>
      <c r="U151" s="55">
        <f t="shared" si="52"/>
        <v>0</v>
      </c>
      <c r="V151" s="55">
        <f t="shared" si="49"/>
        <v>152649733</v>
      </c>
      <c r="W151" s="55">
        <f t="shared" si="50"/>
        <v>146006391.30226028</v>
      </c>
      <c r="X151" s="14">
        <f>SUMPRODUCT((Annee_debut=$A151)*(emprunts!$C$2:$C$149=$C151),fraction_annee_absente)</f>
        <v>2875205.4794520549</v>
      </c>
      <c r="Z151" s="14">
        <f t="shared" si="53"/>
        <v>146006391.30226028</v>
      </c>
      <c r="AA151" s="12">
        <f t="shared" si="51"/>
        <v>3.5460352138159103E-2</v>
      </c>
    </row>
    <row r="152" spans="1:27">
      <c r="A152">
        <v>2013</v>
      </c>
      <c r="B152" s="1" t="s">
        <v>164</v>
      </c>
      <c r="C152" s="17" t="str">
        <f t="shared" si="61"/>
        <v>Caisse d'Épargne</v>
      </c>
      <c r="E152" s="14">
        <f t="shared" si="56"/>
        <v>73570756</v>
      </c>
      <c r="F152" s="14">
        <f t="shared" si="57"/>
        <v>4116805.52</v>
      </c>
      <c r="G152" s="14">
        <f t="shared" si="58"/>
        <v>1971081.69</v>
      </c>
      <c r="H152" s="14">
        <f t="shared" si="59"/>
        <v>2145723.8299999996</v>
      </c>
      <c r="I152" s="14">
        <f t="shared" si="62"/>
        <v>0</v>
      </c>
      <c r="K152" s="12">
        <f t="shared" si="42"/>
        <v>2.5371908339439409E-2</v>
      </c>
      <c r="L152" s="1" t="str">
        <f t="shared" si="43"/>
        <v>2013_0003</v>
      </c>
      <c r="M152" s="14">
        <f t="shared" si="44"/>
        <v>9999998.2600000054</v>
      </c>
      <c r="O152" s="55">
        <f t="shared" si="40"/>
        <v>73570756</v>
      </c>
      <c r="P152" s="55"/>
      <c r="Q152" s="55">
        <f t="shared" si="45"/>
        <v>1971081.69</v>
      </c>
      <c r="R152" s="55">
        <f t="shared" si="46"/>
        <v>2145723.8299999996</v>
      </c>
      <c r="S152" s="55">
        <f t="shared" si="47"/>
        <v>0</v>
      </c>
      <c r="T152" s="55">
        <f t="shared" si="48"/>
        <v>967243.53</v>
      </c>
      <c r="U152" s="55">
        <f t="shared" si="52"/>
        <v>0</v>
      </c>
      <c r="V152" s="55">
        <f t="shared" si="49"/>
        <v>73570756</v>
      </c>
      <c r="W152" s="55">
        <f t="shared" si="50"/>
        <v>54474157.175219178</v>
      </c>
      <c r="X152" s="14">
        <f>SUMPRODUCT((Annee_debut=$A152)*(emprunts!$C$2:$C$149=$C152),fraction_annee_absente)</f>
        <v>9972602.7397260275</v>
      </c>
      <c r="Z152" s="14">
        <f t="shared" si="53"/>
        <v>54474157.175219178</v>
      </c>
      <c r="AA152" s="12">
        <f t="shared" si="51"/>
        <v>3.6183794155087254E-2</v>
      </c>
    </row>
    <row r="153" spans="1:27">
      <c r="A153">
        <v>2013</v>
      </c>
      <c r="B153" s="1" t="s">
        <v>165</v>
      </c>
      <c r="C153" s="17" t="str">
        <f t="shared" si="61"/>
        <v>Crédit Mutuel</v>
      </c>
      <c r="E153" s="14">
        <f t="shared" si="56"/>
        <v>290449</v>
      </c>
      <c r="F153" s="14">
        <f t="shared" si="57"/>
        <v>206183.3</v>
      </c>
      <c r="G153" s="14">
        <f t="shared" si="58"/>
        <v>13719.14</v>
      </c>
      <c r="H153" s="14">
        <f t="shared" si="59"/>
        <v>192464.15999999997</v>
      </c>
      <c r="I153" s="14">
        <f t="shared" si="62"/>
        <v>0</v>
      </c>
      <c r="K153" s="12">
        <f t="shared" si="42"/>
        <v>2.7624340986278983E-2</v>
      </c>
      <c r="L153" s="1" t="str">
        <f t="shared" si="43"/>
        <v>2013_0004</v>
      </c>
      <c r="M153" s="14">
        <f t="shared" si="44"/>
        <v>60.349999999976717</v>
      </c>
      <c r="O153" s="55">
        <f t="shared" si="40"/>
        <v>290449</v>
      </c>
      <c r="P153" s="55"/>
      <c r="Q153" s="55">
        <f t="shared" si="45"/>
        <v>13719.14</v>
      </c>
      <c r="R153" s="55">
        <f t="shared" si="46"/>
        <v>192464.15999999997</v>
      </c>
      <c r="S153" s="55">
        <f t="shared" si="47"/>
        <v>0</v>
      </c>
      <c r="T153" s="55">
        <f t="shared" si="48"/>
        <v>3671.18</v>
      </c>
      <c r="U153" s="55">
        <f t="shared" si="52"/>
        <v>0</v>
      </c>
      <c r="V153" s="55">
        <f t="shared" si="49"/>
        <v>290449</v>
      </c>
      <c r="W153" s="55">
        <f t="shared" si="50"/>
        <v>385621.6797808219</v>
      </c>
      <c r="X153" s="14">
        <f>SUMPRODUCT((Annee_debut=$A153)*(emprunts!$C$2:$C$149=$C153),fraction_annee_absente)</f>
        <v>0</v>
      </c>
      <c r="Z153" s="14">
        <f t="shared" si="53"/>
        <v>385621.6797808219</v>
      </c>
      <c r="AA153" s="12">
        <f t="shared" si="51"/>
        <v>3.5576682327087078E-2</v>
      </c>
    </row>
    <row r="154" spans="1:27">
      <c r="A154">
        <v>2013</v>
      </c>
      <c r="B154" s="1" t="s">
        <v>166</v>
      </c>
      <c r="C154" s="17" t="str">
        <f t="shared" si="61"/>
        <v>Société générale</v>
      </c>
      <c r="E154" s="14">
        <f t="shared" si="56"/>
        <v>18558323</v>
      </c>
      <c r="F154" s="14">
        <f t="shared" si="57"/>
        <v>1310378.75</v>
      </c>
      <c r="G154" s="14">
        <f t="shared" si="58"/>
        <v>575275.37</v>
      </c>
      <c r="H154" s="14">
        <f t="shared" si="59"/>
        <v>735103.38</v>
      </c>
      <c r="I154" s="14">
        <f t="shared" si="62"/>
        <v>0</v>
      </c>
      <c r="K154" s="12">
        <f t="shared" si="42"/>
        <v>2.8953847978517269E-2</v>
      </c>
      <c r="L154" s="1" t="str">
        <f t="shared" si="43"/>
        <v>2013_0005</v>
      </c>
      <c r="M154" s="14">
        <f t="shared" si="44"/>
        <v>-7.0000000298023224E-2</v>
      </c>
      <c r="O154" s="55">
        <f t="shared" si="40"/>
        <v>18558323</v>
      </c>
      <c r="P154" s="55"/>
      <c r="Q154" s="55">
        <f t="shared" si="45"/>
        <v>575275.37</v>
      </c>
      <c r="R154" s="55">
        <f t="shared" si="46"/>
        <v>735103.38</v>
      </c>
      <c r="S154" s="55">
        <f t="shared" si="47"/>
        <v>0</v>
      </c>
      <c r="T154" s="55">
        <f t="shared" si="48"/>
        <v>286718.57</v>
      </c>
      <c r="U154" s="55">
        <f t="shared" si="52"/>
        <v>0</v>
      </c>
      <c r="V154" s="55">
        <f t="shared" si="49"/>
        <v>18558323</v>
      </c>
      <c r="W154" s="55">
        <f t="shared" si="50"/>
        <v>18874022.97852055</v>
      </c>
      <c r="X154" s="14">
        <f>SUMPRODUCT((Annee_debut=$A154)*(emprunts!$C$2:$C$149=$C154),fraction_annee_absente)</f>
        <v>0</v>
      </c>
      <c r="Z154" s="14">
        <f t="shared" si="53"/>
        <v>18874022.97852055</v>
      </c>
      <c r="AA154" s="12">
        <f t="shared" si="51"/>
        <v>3.0479743012641666E-2</v>
      </c>
    </row>
    <row r="155" spans="1:27">
      <c r="A155">
        <v>2013</v>
      </c>
      <c r="B155" s="1" t="s">
        <v>167</v>
      </c>
      <c r="C155" s="17" t="str">
        <f t="shared" si="61"/>
        <v>Crédit Foncier</v>
      </c>
      <c r="E155" s="14">
        <f t="shared" si="56"/>
        <v>0</v>
      </c>
      <c r="F155" s="14">
        <f t="shared" si="57"/>
        <v>0</v>
      </c>
      <c r="G155" s="14">
        <f t="shared" si="58"/>
        <v>0</v>
      </c>
      <c r="H155" s="14">
        <f t="shared" si="59"/>
        <v>0</v>
      </c>
      <c r="I155" s="14">
        <f t="shared" si="62"/>
        <v>0</v>
      </c>
      <c r="K155" s="12" t="str">
        <f t="shared" si="42"/>
        <v/>
      </c>
      <c r="L155" s="1" t="str">
        <f t="shared" si="43"/>
        <v>2013_0014</v>
      </c>
      <c r="M155" s="14" t="str">
        <f t="shared" si="44"/>
        <v/>
      </c>
      <c r="O155" s="55">
        <f t="shared" si="40"/>
        <v>0</v>
      </c>
      <c r="P155" s="55"/>
      <c r="Q155" s="55">
        <f t="shared" si="45"/>
        <v>0</v>
      </c>
      <c r="R155" s="55">
        <f t="shared" si="46"/>
        <v>0</v>
      </c>
      <c r="S155" s="55">
        <f t="shared" si="47"/>
        <v>0</v>
      </c>
      <c r="T155" s="55">
        <f t="shared" si="48"/>
        <v>0</v>
      </c>
      <c r="U155" s="55">
        <f t="shared" si="52"/>
        <v>0</v>
      </c>
      <c r="V155" s="55">
        <f t="shared" si="49"/>
        <v>0</v>
      </c>
      <c r="W155" s="55">
        <f t="shared" si="50"/>
        <v>0</v>
      </c>
      <c r="X155" s="14">
        <f>SUMPRODUCT((Annee_debut=$A155)*(emprunts!$C$2:$C$149=$C155),fraction_annee_absente)</f>
        <v>0</v>
      </c>
      <c r="Z155" s="14">
        <f t="shared" si="53"/>
        <v>0</v>
      </c>
      <c r="AA155" s="12" t="e">
        <f t="shared" si="51"/>
        <v>#DIV/0!</v>
      </c>
    </row>
    <row r="156" spans="1:27">
      <c r="A156">
        <v>2013</v>
      </c>
      <c r="B156" s="1" t="s">
        <v>168</v>
      </c>
      <c r="C156" s="17" t="str">
        <f t="shared" si="61"/>
        <v>Auxifip CEPME</v>
      </c>
      <c r="E156" s="14">
        <f t="shared" si="56"/>
        <v>0</v>
      </c>
      <c r="F156" s="14">
        <f t="shared" si="57"/>
        <v>0</v>
      </c>
      <c r="G156" s="14">
        <f t="shared" si="58"/>
        <v>0</v>
      </c>
      <c r="H156" s="14">
        <f t="shared" si="59"/>
        <v>0</v>
      </c>
      <c r="I156" s="14">
        <f t="shared" si="62"/>
        <v>0</v>
      </c>
      <c r="K156" s="12" t="str">
        <f t="shared" si="42"/>
        <v/>
      </c>
      <c r="L156" s="1" t="str">
        <f t="shared" si="43"/>
        <v>2013_0015</v>
      </c>
      <c r="M156" s="14" t="str">
        <f t="shared" si="44"/>
        <v/>
      </c>
      <c r="O156" s="55">
        <f t="shared" si="40"/>
        <v>0</v>
      </c>
      <c r="P156" s="55"/>
      <c r="Q156" s="55">
        <f t="shared" si="45"/>
        <v>0</v>
      </c>
      <c r="R156" s="55">
        <f t="shared" si="46"/>
        <v>0</v>
      </c>
      <c r="S156" s="55">
        <f t="shared" si="47"/>
        <v>0</v>
      </c>
      <c r="T156" s="55">
        <f t="shared" si="48"/>
        <v>0</v>
      </c>
      <c r="U156" s="55">
        <f t="shared" si="52"/>
        <v>0</v>
      </c>
      <c r="V156" s="55">
        <f t="shared" si="49"/>
        <v>0</v>
      </c>
      <c r="W156" s="55">
        <f t="shared" si="50"/>
        <v>0</v>
      </c>
      <c r="X156" s="14">
        <f>SUMPRODUCT((Annee_debut=$A156)*(emprunts!$C$2:$C$149=$C156),fraction_annee_absente)</f>
        <v>0</v>
      </c>
      <c r="Z156" s="14">
        <f t="shared" si="53"/>
        <v>0</v>
      </c>
      <c r="AA156" s="12" t="e">
        <f t="shared" si="51"/>
        <v>#DIV/0!</v>
      </c>
    </row>
    <row r="157" spans="1:27">
      <c r="A157">
        <v>2013</v>
      </c>
      <c r="B157" s="1" t="s">
        <v>169</v>
      </c>
      <c r="C157" s="17" t="str">
        <f t="shared" si="61"/>
        <v>Natixis</v>
      </c>
      <c r="E157" s="14">
        <f t="shared" si="56"/>
        <v>0</v>
      </c>
      <c r="F157" s="14">
        <f t="shared" si="57"/>
        <v>0</v>
      </c>
      <c r="G157" s="14">
        <f t="shared" si="58"/>
        <v>0</v>
      </c>
      <c r="H157" s="14">
        <f t="shared" si="59"/>
        <v>0</v>
      </c>
      <c r="I157" s="14">
        <f t="shared" si="62"/>
        <v>0</v>
      </c>
      <c r="K157" s="12" t="str">
        <f t="shared" si="42"/>
        <v/>
      </c>
      <c r="L157" s="1" t="str">
        <f t="shared" si="43"/>
        <v>2013_0016</v>
      </c>
      <c r="M157" s="14" t="str">
        <f t="shared" si="44"/>
        <v/>
      </c>
      <c r="O157" s="55">
        <f t="shared" si="40"/>
        <v>0</v>
      </c>
      <c r="P157" s="55"/>
      <c r="Q157" s="55">
        <f t="shared" si="45"/>
        <v>0</v>
      </c>
      <c r="R157" s="55">
        <f t="shared" si="46"/>
        <v>0</v>
      </c>
      <c r="S157" s="55">
        <f t="shared" si="47"/>
        <v>0</v>
      </c>
      <c r="T157" s="55">
        <f t="shared" si="48"/>
        <v>0</v>
      </c>
      <c r="U157" s="55">
        <f t="shared" si="52"/>
        <v>0</v>
      </c>
      <c r="V157" s="55">
        <f t="shared" si="49"/>
        <v>0</v>
      </c>
      <c r="W157" s="55">
        <f t="shared" si="50"/>
        <v>0</v>
      </c>
      <c r="X157" s="14">
        <f>SUMPRODUCT((Annee_debut=$A157)*(emprunts!$C$2:$C$149=$C157),fraction_annee_absente)</f>
        <v>0</v>
      </c>
      <c r="Z157" s="14">
        <f t="shared" si="53"/>
        <v>0</v>
      </c>
      <c r="AA157" s="12" t="e">
        <f t="shared" si="51"/>
        <v>#DIV/0!</v>
      </c>
    </row>
    <row r="158" spans="1:27">
      <c r="A158">
        <v>2013</v>
      </c>
      <c r="B158" s="1" t="s">
        <v>171</v>
      </c>
      <c r="C158" s="17" t="str">
        <f t="shared" si="61"/>
        <v>Deutsche Hypothekenbank</v>
      </c>
      <c r="E158" s="14">
        <f t="shared" si="56"/>
        <v>0</v>
      </c>
      <c r="F158" s="14">
        <f t="shared" si="57"/>
        <v>0</v>
      </c>
      <c r="G158" s="14">
        <f t="shared" si="58"/>
        <v>0</v>
      </c>
      <c r="H158" s="14">
        <f t="shared" si="59"/>
        <v>0</v>
      </c>
      <c r="I158" s="14">
        <f t="shared" si="62"/>
        <v>0</v>
      </c>
      <c r="K158" s="12" t="str">
        <f t="shared" si="42"/>
        <v/>
      </c>
      <c r="L158" s="1" t="str">
        <f t="shared" si="43"/>
        <v>2013_0022</v>
      </c>
      <c r="M158" s="14" t="str">
        <f t="shared" si="44"/>
        <v/>
      </c>
      <c r="O158" s="55">
        <f t="shared" si="40"/>
        <v>0</v>
      </c>
      <c r="P158" s="55"/>
      <c r="Q158" s="55">
        <f t="shared" si="45"/>
        <v>0</v>
      </c>
      <c r="R158" s="55">
        <f t="shared" si="46"/>
        <v>0</v>
      </c>
      <c r="S158" s="55">
        <f t="shared" si="47"/>
        <v>0</v>
      </c>
      <c r="T158" s="55">
        <f t="shared" si="48"/>
        <v>0</v>
      </c>
      <c r="U158" s="55">
        <f t="shared" si="52"/>
        <v>0</v>
      </c>
      <c r="V158" s="55">
        <f t="shared" si="49"/>
        <v>0</v>
      </c>
      <c r="W158" s="55">
        <f t="shared" si="50"/>
        <v>0</v>
      </c>
      <c r="X158" s="14">
        <f>SUMPRODUCT((Annee_debut=$A158)*(emprunts!$C$2:$C$149=$C158),fraction_annee_absente)</f>
        <v>0</v>
      </c>
      <c r="Z158" s="14">
        <f t="shared" si="53"/>
        <v>0</v>
      </c>
      <c r="AA158" s="12" t="e">
        <f t="shared" si="51"/>
        <v>#DIV/0!</v>
      </c>
    </row>
    <row r="159" spans="1:27">
      <c r="A159">
        <v>2013</v>
      </c>
      <c r="B159" s="1" t="s">
        <v>173</v>
      </c>
      <c r="C159" s="17" t="str">
        <f t="shared" si="61"/>
        <v>Crédit Agricole</v>
      </c>
      <c r="E159" s="14">
        <f t="shared" si="56"/>
        <v>11140690</v>
      </c>
      <c r="F159" s="14">
        <f t="shared" si="57"/>
        <v>1738308.3000000003</v>
      </c>
      <c r="G159" s="14">
        <f t="shared" si="58"/>
        <v>278080.08999999997</v>
      </c>
      <c r="H159" s="14">
        <f t="shared" si="59"/>
        <v>1473340.54</v>
      </c>
      <c r="I159" s="14">
        <f t="shared" si="62"/>
        <v>-13112.329999999609</v>
      </c>
      <c r="K159" s="12">
        <f t="shared" si="42"/>
        <v>2.1591748327197152E-2</v>
      </c>
      <c r="L159" s="1" t="str">
        <f t="shared" si="43"/>
        <v>2013_0023</v>
      </c>
      <c r="M159" s="14">
        <f t="shared" si="44"/>
        <v>-8.0000000074505806E-2</v>
      </c>
      <c r="O159" s="55">
        <f t="shared" si="40"/>
        <v>11140690</v>
      </c>
      <c r="P159" s="55"/>
      <c r="Q159" s="55">
        <f t="shared" si="45"/>
        <v>264967.75999999995</v>
      </c>
      <c r="R159" s="55">
        <f t="shared" si="46"/>
        <v>1473340.54</v>
      </c>
      <c r="S159" s="55">
        <f t="shared" si="47"/>
        <v>-13112.33</v>
      </c>
      <c r="T159" s="55">
        <f t="shared" si="48"/>
        <v>106540.52</v>
      </c>
      <c r="U159" s="55">
        <f t="shared" si="52"/>
        <v>0</v>
      </c>
      <c r="V159" s="55">
        <f t="shared" si="49"/>
        <v>11140690</v>
      </c>
      <c r="W159" s="55">
        <f t="shared" si="50"/>
        <v>11844819.556931507</v>
      </c>
      <c r="X159" s="14">
        <f>SUMPRODUCT((Annee_debut=$A159)*(emprunts!$C$2:$C$149=$C159),fraction_annee_absente)</f>
        <v>0</v>
      </c>
      <c r="Z159" s="14">
        <f t="shared" si="53"/>
        <v>11844819.556931507</v>
      </c>
      <c r="AA159" s="12">
        <f t="shared" si="51"/>
        <v>2.3476937631968349E-2</v>
      </c>
    </row>
    <row r="160" spans="1:27">
      <c r="A160">
        <v>2013</v>
      </c>
      <c r="B160" s="1" t="s">
        <v>172</v>
      </c>
      <c r="C160" s="17" t="str">
        <f t="shared" si="61"/>
        <v>Rheinboden Hypothekenbank</v>
      </c>
      <c r="E160" s="14">
        <f t="shared" si="56"/>
        <v>0</v>
      </c>
      <c r="F160" s="14">
        <f t="shared" si="57"/>
        <v>0</v>
      </c>
      <c r="G160" s="14">
        <f t="shared" si="58"/>
        <v>0</v>
      </c>
      <c r="H160" s="14">
        <f t="shared" si="59"/>
        <v>0</v>
      </c>
      <c r="I160" s="14">
        <f t="shared" si="62"/>
        <v>0</v>
      </c>
      <c r="K160" s="12" t="str">
        <f t="shared" si="42"/>
        <v/>
      </c>
      <c r="L160" s="1" t="str">
        <f t="shared" si="43"/>
        <v>2013_0025</v>
      </c>
      <c r="M160" s="14" t="str">
        <f t="shared" si="44"/>
        <v/>
      </c>
      <c r="O160" s="55">
        <f t="shared" si="40"/>
        <v>0</v>
      </c>
      <c r="P160" s="55"/>
      <c r="Q160" s="55">
        <f t="shared" si="45"/>
        <v>0</v>
      </c>
      <c r="R160" s="55">
        <f t="shared" si="46"/>
        <v>0</v>
      </c>
      <c r="S160" s="55">
        <f t="shared" si="47"/>
        <v>0</v>
      </c>
      <c r="T160" s="55">
        <f t="shared" si="48"/>
        <v>0</v>
      </c>
      <c r="U160" s="55">
        <f t="shared" si="52"/>
        <v>0</v>
      </c>
      <c r="V160" s="55">
        <f t="shared" si="49"/>
        <v>0</v>
      </c>
      <c r="W160" s="55">
        <f t="shared" si="50"/>
        <v>0</v>
      </c>
      <c r="X160" s="14">
        <f>SUMPRODUCT((Annee_debut=$A160)*(emprunts!$C$2:$C$149=$C160),fraction_annee_absente)</f>
        <v>0</v>
      </c>
      <c r="Z160" s="14">
        <f t="shared" si="53"/>
        <v>0</v>
      </c>
      <c r="AA160" s="12" t="e">
        <f t="shared" si="51"/>
        <v>#DIV/0!</v>
      </c>
    </row>
    <row r="161" spans="1:27">
      <c r="A161">
        <v>2013</v>
      </c>
      <c r="B161" s="1" t="s">
        <v>277</v>
      </c>
      <c r="C161" s="17" t="str">
        <f t="shared" si="61"/>
        <v>Arkea</v>
      </c>
      <c r="E161" s="14">
        <f t="shared" si="56"/>
        <v>8677329</v>
      </c>
      <c r="F161" s="14">
        <f t="shared" si="57"/>
        <v>505704.24</v>
      </c>
      <c r="G161" s="14">
        <f t="shared" si="58"/>
        <v>58448.34</v>
      </c>
      <c r="H161" s="14">
        <f t="shared" si="59"/>
        <v>447255.9</v>
      </c>
      <c r="I161" s="14">
        <f t="shared" si="62"/>
        <v>0</v>
      </c>
      <c r="K161" s="12">
        <f t="shared" si="42"/>
        <v>6.3648185161093891E-3</v>
      </c>
      <c r="L161" s="1" t="str">
        <f t="shared" si="43"/>
        <v>2013_Arkea</v>
      </c>
      <c r="M161" s="14">
        <f t="shared" si="44"/>
        <v>-0.16999999992549419</v>
      </c>
      <c r="O161" s="55">
        <f t="shared" si="40"/>
        <v>8677329</v>
      </c>
      <c r="P161" s="55"/>
      <c r="Q161" s="55">
        <f t="shared" si="45"/>
        <v>58448.34</v>
      </c>
      <c r="R161" s="55">
        <f t="shared" si="46"/>
        <v>447255.9</v>
      </c>
      <c r="S161" s="55">
        <f t="shared" si="47"/>
        <v>0</v>
      </c>
      <c r="T161" s="55">
        <f t="shared" si="48"/>
        <v>9833.34</v>
      </c>
      <c r="U161" s="55">
        <f t="shared" si="52"/>
        <v>0</v>
      </c>
      <c r="V161" s="55">
        <f t="shared" si="49"/>
        <v>8677329</v>
      </c>
      <c r="W161" s="55">
        <f t="shared" si="50"/>
        <v>8876570.766575342</v>
      </c>
      <c r="X161" s="14">
        <f>SUMPRODUCT((Annee_debut=$A161)*(emprunts!$C$2:$C$149=$C161),fraction_annee_absente)</f>
        <v>0</v>
      </c>
      <c r="Z161" s="14">
        <f t="shared" si="53"/>
        <v>8876570.766575342</v>
      </c>
      <c r="AA161" s="12">
        <f t="shared" si="51"/>
        <v>6.5845630634846922E-3</v>
      </c>
    </row>
    <row r="162" spans="1:27">
      <c r="A162">
        <v>2014</v>
      </c>
      <c r="B162" s="1" t="s">
        <v>162</v>
      </c>
      <c r="C162" s="17" t="str">
        <f t="shared" ref="C162:C173" si="63">VLOOKUP(B162,preteurs,2,FALSE)</f>
        <v>CDC</v>
      </c>
      <c r="E162" s="14">
        <f t="shared" si="56"/>
        <v>6292187</v>
      </c>
      <c r="F162" s="14">
        <f t="shared" si="57"/>
        <v>675403.52</v>
      </c>
      <c r="G162" s="14">
        <f t="shared" si="58"/>
        <v>145562.18</v>
      </c>
      <c r="H162" s="14">
        <f t="shared" si="59"/>
        <v>529841.34</v>
      </c>
      <c r="I162" s="14">
        <f t="shared" si="62"/>
        <v>0</v>
      </c>
      <c r="K162" s="12">
        <f t="shared" si="42"/>
        <v>2.0891322413705792E-2</v>
      </c>
      <c r="L162" s="1" t="str">
        <f t="shared" si="43"/>
        <v>2014_0001</v>
      </c>
      <c r="M162" s="14">
        <f t="shared" si="44"/>
        <v>-0.34999999962747097</v>
      </c>
      <c r="O162" s="55">
        <f t="shared" si="40"/>
        <v>6292187</v>
      </c>
      <c r="P162" s="55"/>
      <c r="Q162" s="55">
        <f t="shared" si="45"/>
        <v>145562.18</v>
      </c>
      <c r="R162" s="55">
        <f t="shared" si="46"/>
        <v>529841.34</v>
      </c>
      <c r="S162" s="55">
        <f t="shared" si="47"/>
        <v>0</v>
      </c>
      <c r="T162" s="55">
        <f t="shared" si="48"/>
        <v>48876.100000000006</v>
      </c>
      <c r="U162" s="55">
        <f t="shared" si="52"/>
        <v>0</v>
      </c>
      <c r="V162" s="55">
        <f t="shared" si="49"/>
        <v>6292187</v>
      </c>
      <c r="W162" s="55">
        <f t="shared" si="50"/>
        <v>6539142.9914520541</v>
      </c>
      <c r="X162" s="14">
        <f>SUMPRODUCT((Annee_debut=$A162)*(emprunts!$C$2:$C$149=$C162),fraction_annee_absente)</f>
        <v>0</v>
      </c>
      <c r="Z162" s="14">
        <f t="shared" si="53"/>
        <v>6539142.9914520541</v>
      </c>
      <c r="AA162" s="12">
        <f t="shared" si="51"/>
        <v>2.2260131058500846E-2</v>
      </c>
    </row>
    <row r="163" spans="1:27">
      <c r="A163">
        <v>2014</v>
      </c>
      <c r="B163" s="1" t="s">
        <v>163</v>
      </c>
      <c r="C163" s="17" t="str">
        <f t="shared" si="63"/>
        <v>Dexia CL</v>
      </c>
      <c r="E163" s="14">
        <f t="shared" si="56"/>
        <v>182554484</v>
      </c>
      <c r="F163" s="14">
        <f t="shared" si="57"/>
        <v>13584338.98</v>
      </c>
      <c r="G163" s="14">
        <f t="shared" si="58"/>
        <v>7159090.8699999992</v>
      </c>
      <c r="H163" s="14">
        <f t="shared" si="59"/>
        <v>6425248.1099999994</v>
      </c>
      <c r="I163" s="14">
        <f t="shared" si="62"/>
        <v>0</v>
      </c>
      <c r="K163" s="12">
        <f t="shared" si="42"/>
        <v>3.6500121501850766E-2</v>
      </c>
      <c r="L163" s="1" t="str">
        <f t="shared" si="43"/>
        <v>2014_0002</v>
      </c>
      <c r="M163" s="14">
        <f t="shared" si="44"/>
        <v>17350000.900000006</v>
      </c>
      <c r="O163" s="55">
        <f t="shared" si="40"/>
        <v>182554484</v>
      </c>
      <c r="P163" s="55"/>
      <c r="Q163" s="55">
        <f t="shared" si="45"/>
        <v>7159090.8699999992</v>
      </c>
      <c r="R163" s="55">
        <f t="shared" si="46"/>
        <v>6425248.1099999994</v>
      </c>
      <c r="S163" s="55">
        <f t="shared" si="47"/>
        <v>0</v>
      </c>
      <c r="T163" s="55">
        <f t="shared" si="48"/>
        <v>3432969.4599999995</v>
      </c>
      <c r="U163" s="55">
        <f t="shared" si="52"/>
        <v>0</v>
      </c>
      <c r="V163" s="55">
        <f t="shared" si="49"/>
        <v>182554484</v>
      </c>
      <c r="W163" s="55">
        <f t="shared" si="50"/>
        <v>172153492.91654795</v>
      </c>
      <c r="X163" s="14">
        <f>SUMPRODUCT((Annee_debut=$A163)*(emprunts!$C$2:$C$149=$C163),fraction_annee_absente)</f>
        <v>8714849.3150684927</v>
      </c>
      <c r="Z163" s="14">
        <f t="shared" ref="Z163:Z194" si="64">W163+(U163+(H163-R163)/2)</f>
        <v>172153492.91654795</v>
      </c>
      <c r="AA163" s="12">
        <f t="shared" si="51"/>
        <v>4.1585510399550212E-2</v>
      </c>
    </row>
    <row r="164" spans="1:27">
      <c r="A164">
        <v>2014</v>
      </c>
      <c r="B164" s="1" t="s">
        <v>164</v>
      </c>
      <c r="C164" s="17" t="str">
        <f t="shared" si="63"/>
        <v>Caisse d'Épargne</v>
      </c>
      <c r="E164" s="14">
        <f t="shared" si="56"/>
        <v>80573199</v>
      </c>
      <c r="F164" s="14">
        <f t="shared" si="57"/>
        <v>5812458.46</v>
      </c>
      <c r="G164" s="14">
        <f t="shared" si="58"/>
        <v>2814903.2000000007</v>
      </c>
      <c r="H164" s="14">
        <f t="shared" si="59"/>
        <v>2997555.26</v>
      </c>
      <c r="I164" s="14">
        <f t="shared" si="62"/>
        <v>0</v>
      </c>
      <c r="K164" s="12">
        <f t="shared" si="42"/>
        <v>3.258530736197051E-2</v>
      </c>
      <c r="L164" s="1" t="str">
        <f t="shared" si="43"/>
        <v>2014_0003</v>
      </c>
      <c r="M164" s="14">
        <f t="shared" si="44"/>
        <v>1.1899999976158142</v>
      </c>
      <c r="O164" s="55">
        <f t="shared" si="40"/>
        <v>80573199</v>
      </c>
      <c r="P164" s="55"/>
      <c r="Q164" s="55">
        <f t="shared" si="45"/>
        <v>2814903.2000000007</v>
      </c>
      <c r="R164" s="55">
        <f t="shared" si="46"/>
        <v>2997555.26</v>
      </c>
      <c r="S164" s="55">
        <f t="shared" si="47"/>
        <v>0</v>
      </c>
      <c r="T164" s="55">
        <f t="shared" si="48"/>
        <v>1017925.61</v>
      </c>
      <c r="U164" s="55">
        <f t="shared" si="52"/>
        <v>0</v>
      </c>
      <c r="V164" s="55">
        <f t="shared" si="49"/>
        <v>80573199</v>
      </c>
      <c r="W164" s="55">
        <f t="shared" si="50"/>
        <v>64483233.407178082</v>
      </c>
      <c r="X164" s="14">
        <f>SUMPRODUCT((Annee_debut=$A164)*(emprunts!$C$2:$C$149=$C164),fraction_annee_absente)</f>
        <v>17806794.520547945</v>
      </c>
      <c r="Z164" s="14">
        <f t="shared" si="64"/>
        <v>64483233.407178082</v>
      </c>
      <c r="AA164" s="12">
        <f t="shared" si="51"/>
        <v>4.3653257618540171E-2</v>
      </c>
    </row>
    <row r="165" spans="1:27">
      <c r="A165">
        <v>2014</v>
      </c>
      <c r="B165" s="1" t="s">
        <v>165</v>
      </c>
      <c r="C165" s="17" t="str">
        <f t="shared" si="63"/>
        <v>Crédit Mutuel</v>
      </c>
      <c r="E165" s="14">
        <f t="shared" si="56"/>
        <v>93815</v>
      </c>
      <c r="F165" s="14">
        <f t="shared" si="57"/>
        <v>210173.13999999998</v>
      </c>
      <c r="G165" s="14">
        <f t="shared" si="58"/>
        <v>13478.79</v>
      </c>
      <c r="H165" s="14">
        <f t="shared" si="59"/>
        <v>196694.34999999998</v>
      </c>
      <c r="I165" s="14">
        <f t="shared" si="62"/>
        <v>0</v>
      </c>
      <c r="K165" s="12">
        <f t="shared" si="42"/>
        <v>4.4339854837757819E-2</v>
      </c>
      <c r="L165" s="1" t="str">
        <f t="shared" si="43"/>
        <v>2014_0004</v>
      </c>
      <c r="M165" s="14">
        <f t="shared" si="44"/>
        <v>-0.61000000000058208</v>
      </c>
      <c r="O165" s="55">
        <f t="shared" si="40"/>
        <v>93815</v>
      </c>
      <c r="P165" s="55"/>
      <c r="Q165" s="55">
        <f t="shared" si="45"/>
        <v>13478.79</v>
      </c>
      <c r="R165" s="55">
        <f t="shared" si="46"/>
        <v>196694.34999999998</v>
      </c>
      <c r="S165" s="55">
        <f t="shared" si="47"/>
        <v>0</v>
      </c>
      <c r="T165" s="55">
        <f t="shared" si="48"/>
        <v>2204.5700000000002</v>
      </c>
      <c r="U165" s="55">
        <f t="shared" si="52"/>
        <v>0</v>
      </c>
      <c r="V165" s="55">
        <f t="shared" si="49"/>
        <v>93815</v>
      </c>
      <c r="W165" s="55">
        <f t="shared" si="50"/>
        <v>185277.43512328767</v>
      </c>
      <c r="X165" s="14">
        <f>SUMPRODUCT((Annee_debut=$A165)*(emprunts!$C$2:$C$149=$C165),fraction_annee_absente)</f>
        <v>0</v>
      </c>
      <c r="Z165" s="14">
        <f t="shared" si="64"/>
        <v>185277.43512328767</v>
      </c>
      <c r="AA165" s="12">
        <f t="shared" si="51"/>
        <v>7.2749225997385591E-2</v>
      </c>
    </row>
    <row r="166" spans="1:27">
      <c r="A166">
        <v>2014</v>
      </c>
      <c r="B166" s="1" t="s">
        <v>166</v>
      </c>
      <c r="C166" s="17" t="str">
        <f t="shared" si="63"/>
        <v>Société générale</v>
      </c>
      <c r="E166" s="14">
        <f t="shared" ref="E166:E193" si="65">SUMPRODUCT((preteur=$C166)*(annee=$A166),encours)</f>
        <v>17785832</v>
      </c>
      <c r="F166" s="14">
        <f t="shared" ref="F166:F193" si="66">SUMPRODUCT((preteur=$C166)*(annee=$A166),annuite)</f>
        <v>1330282.7</v>
      </c>
      <c r="G166" s="14">
        <f t="shared" ref="G166:G193" si="67">SUMPRODUCT((preteur=$C166)*(annee=$A166),interet)</f>
        <v>557791.77</v>
      </c>
      <c r="H166" s="14">
        <f t="shared" ref="H166:H193" si="68">SUMPRODUCT((preteur=$C166)*(annee=$A166),amortissement)</f>
        <v>772490.92999999993</v>
      </c>
      <c r="I166" s="14">
        <f t="shared" si="62"/>
        <v>0</v>
      </c>
      <c r="K166" s="12">
        <f t="shared" si="42"/>
        <v>2.9179139106128089E-2</v>
      </c>
      <c r="L166" s="1" t="str">
        <f t="shared" si="43"/>
        <v>2014_0005</v>
      </c>
      <c r="M166" s="14">
        <f t="shared" si="44"/>
        <v>4999999.4499999993</v>
      </c>
      <c r="O166" s="55">
        <f t="shared" si="40"/>
        <v>17785832</v>
      </c>
      <c r="P166" s="55"/>
      <c r="Q166" s="55">
        <f t="shared" si="45"/>
        <v>557791.77</v>
      </c>
      <c r="R166" s="55">
        <f t="shared" si="46"/>
        <v>772490.92999999993</v>
      </c>
      <c r="S166" s="55">
        <f t="shared" si="47"/>
        <v>0</v>
      </c>
      <c r="T166" s="55">
        <f t="shared" si="48"/>
        <v>335313.07999999996</v>
      </c>
      <c r="U166" s="55">
        <f t="shared" si="52"/>
        <v>0</v>
      </c>
      <c r="V166" s="55">
        <f t="shared" si="49"/>
        <v>17785832</v>
      </c>
      <c r="W166" s="55">
        <f t="shared" si="50"/>
        <v>18034308.476164386</v>
      </c>
      <c r="X166" s="14">
        <f>SUMPRODUCT((Annee_debut=$A166)*(emprunts!$C$2:$C$149=$C166),fraction_annee_absente)</f>
        <v>2465753.4246575343</v>
      </c>
      <c r="Z166" s="14">
        <f t="shared" si="64"/>
        <v>18034308.476164386</v>
      </c>
      <c r="AA166" s="12">
        <f t="shared" si="51"/>
        <v>3.0929479260999843E-2</v>
      </c>
    </row>
    <row r="167" spans="1:27">
      <c r="A167">
        <v>2014</v>
      </c>
      <c r="B167" s="1" t="s">
        <v>167</v>
      </c>
      <c r="C167" s="17" t="str">
        <f t="shared" si="63"/>
        <v>Crédit Foncier</v>
      </c>
      <c r="E167" s="14">
        <f t="shared" si="65"/>
        <v>0</v>
      </c>
      <c r="F167" s="14">
        <f t="shared" si="66"/>
        <v>0</v>
      </c>
      <c r="G167" s="14">
        <f t="shared" si="67"/>
        <v>0</v>
      </c>
      <c r="H167" s="14">
        <f t="shared" si="68"/>
        <v>0</v>
      </c>
      <c r="I167" s="14">
        <f t="shared" si="62"/>
        <v>0</v>
      </c>
      <c r="K167" s="12" t="str">
        <f t="shared" si="42"/>
        <v/>
      </c>
      <c r="L167" s="1" t="str">
        <f t="shared" si="43"/>
        <v>2014_0014</v>
      </c>
      <c r="M167" s="14" t="str">
        <f t="shared" si="44"/>
        <v/>
      </c>
      <c r="O167" s="55">
        <f t="shared" si="40"/>
        <v>0</v>
      </c>
      <c r="P167" s="55"/>
      <c r="Q167" s="55">
        <f t="shared" si="45"/>
        <v>0</v>
      </c>
      <c r="R167" s="55">
        <f t="shared" si="46"/>
        <v>0</v>
      </c>
      <c r="S167" s="55">
        <f t="shared" si="47"/>
        <v>0</v>
      </c>
      <c r="T167" s="55">
        <f t="shared" si="48"/>
        <v>0</v>
      </c>
      <c r="U167" s="55">
        <f t="shared" si="52"/>
        <v>0</v>
      </c>
      <c r="V167" s="55">
        <f t="shared" si="49"/>
        <v>0</v>
      </c>
      <c r="W167" s="55">
        <f t="shared" si="50"/>
        <v>0</v>
      </c>
      <c r="X167" s="14">
        <f>SUMPRODUCT((Annee_debut=$A167)*(emprunts!$C$2:$C$149=$C167),fraction_annee_absente)</f>
        <v>0</v>
      </c>
      <c r="Z167" s="14">
        <f t="shared" si="64"/>
        <v>0</v>
      </c>
      <c r="AA167" s="12" t="e">
        <f t="shared" si="51"/>
        <v>#DIV/0!</v>
      </c>
    </row>
    <row r="168" spans="1:27">
      <c r="A168">
        <v>2014</v>
      </c>
      <c r="B168" s="1" t="s">
        <v>168</v>
      </c>
      <c r="C168" s="17" t="str">
        <f t="shared" si="63"/>
        <v>Auxifip CEPME</v>
      </c>
      <c r="E168" s="14">
        <f t="shared" si="65"/>
        <v>0</v>
      </c>
      <c r="F168" s="14">
        <f t="shared" si="66"/>
        <v>0</v>
      </c>
      <c r="G168" s="14">
        <f t="shared" si="67"/>
        <v>0</v>
      </c>
      <c r="H168" s="14">
        <f t="shared" si="68"/>
        <v>0</v>
      </c>
      <c r="I168" s="14">
        <f t="shared" si="62"/>
        <v>0</v>
      </c>
      <c r="K168" s="12" t="str">
        <f t="shared" si="42"/>
        <v/>
      </c>
      <c r="L168" s="1" t="str">
        <f t="shared" si="43"/>
        <v>2014_0015</v>
      </c>
      <c r="M168" s="14" t="str">
        <f t="shared" si="44"/>
        <v/>
      </c>
      <c r="O168" s="55">
        <f t="shared" si="40"/>
        <v>0</v>
      </c>
      <c r="P168" s="55"/>
      <c r="Q168" s="55">
        <f t="shared" si="45"/>
        <v>0</v>
      </c>
      <c r="R168" s="55">
        <f t="shared" si="46"/>
        <v>0</v>
      </c>
      <c r="S168" s="55">
        <f t="shared" si="47"/>
        <v>0</v>
      </c>
      <c r="T168" s="55">
        <f t="shared" si="48"/>
        <v>0</v>
      </c>
      <c r="U168" s="55">
        <f t="shared" si="52"/>
        <v>0</v>
      </c>
      <c r="V168" s="55">
        <f t="shared" si="49"/>
        <v>0</v>
      </c>
      <c r="W168" s="55">
        <f t="shared" si="50"/>
        <v>0</v>
      </c>
      <c r="X168" s="14">
        <f>SUMPRODUCT((Annee_debut=$A168)*(emprunts!$C$2:$C$149=$C168),fraction_annee_absente)</f>
        <v>0</v>
      </c>
      <c r="Z168" s="14">
        <f t="shared" si="64"/>
        <v>0</v>
      </c>
      <c r="AA168" s="12" t="e">
        <f t="shared" si="51"/>
        <v>#DIV/0!</v>
      </c>
    </row>
    <row r="169" spans="1:27">
      <c r="A169">
        <v>2014</v>
      </c>
      <c r="B169" s="1" t="s">
        <v>169</v>
      </c>
      <c r="C169" s="17" t="str">
        <f t="shared" si="63"/>
        <v>Natixis</v>
      </c>
      <c r="E169" s="14">
        <f t="shared" si="65"/>
        <v>0</v>
      </c>
      <c r="F169" s="14">
        <f t="shared" si="66"/>
        <v>0</v>
      </c>
      <c r="G169" s="14">
        <f t="shared" si="67"/>
        <v>0</v>
      </c>
      <c r="H169" s="14">
        <f t="shared" si="68"/>
        <v>0</v>
      </c>
      <c r="I169" s="14">
        <f t="shared" si="62"/>
        <v>0</v>
      </c>
      <c r="K169" s="12" t="str">
        <f t="shared" si="42"/>
        <v/>
      </c>
      <c r="L169" s="1" t="str">
        <f t="shared" si="43"/>
        <v>2014_0016</v>
      </c>
      <c r="M169" s="14" t="str">
        <f t="shared" si="44"/>
        <v/>
      </c>
      <c r="O169" s="55">
        <f t="shared" si="40"/>
        <v>0</v>
      </c>
      <c r="P169" s="55"/>
      <c r="Q169" s="55">
        <f t="shared" si="45"/>
        <v>0</v>
      </c>
      <c r="R169" s="55">
        <f t="shared" si="46"/>
        <v>0</v>
      </c>
      <c r="S169" s="55">
        <f t="shared" si="47"/>
        <v>0</v>
      </c>
      <c r="T169" s="55">
        <f t="shared" si="48"/>
        <v>0</v>
      </c>
      <c r="U169" s="55">
        <f t="shared" si="52"/>
        <v>0</v>
      </c>
      <c r="V169" s="55">
        <f t="shared" si="49"/>
        <v>0</v>
      </c>
      <c r="W169" s="55">
        <f t="shared" si="50"/>
        <v>0</v>
      </c>
      <c r="X169" s="14">
        <f>SUMPRODUCT((Annee_debut=$A169)*(emprunts!$C$2:$C$149=$C169),fraction_annee_absente)</f>
        <v>0</v>
      </c>
      <c r="Z169" s="14">
        <f t="shared" si="64"/>
        <v>0</v>
      </c>
      <c r="AA169" s="12" t="e">
        <f t="shared" si="51"/>
        <v>#DIV/0!</v>
      </c>
    </row>
    <row r="170" spans="1:27">
      <c r="A170">
        <v>2014</v>
      </c>
      <c r="B170" s="1" t="s">
        <v>171</v>
      </c>
      <c r="C170" s="17" t="str">
        <f t="shared" si="63"/>
        <v>Deutsche Hypothekenbank</v>
      </c>
      <c r="E170" s="14">
        <f t="shared" si="65"/>
        <v>0</v>
      </c>
      <c r="F170" s="14">
        <f t="shared" si="66"/>
        <v>0</v>
      </c>
      <c r="G170" s="14">
        <f t="shared" si="67"/>
        <v>0</v>
      </c>
      <c r="H170" s="14">
        <f t="shared" si="68"/>
        <v>0</v>
      </c>
      <c r="I170" s="14">
        <f t="shared" si="62"/>
        <v>0</v>
      </c>
      <c r="K170" s="12" t="str">
        <f t="shared" si="42"/>
        <v/>
      </c>
      <c r="L170" s="1" t="str">
        <f t="shared" si="43"/>
        <v>2014_0022</v>
      </c>
      <c r="M170" s="14" t="str">
        <f t="shared" si="44"/>
        <v/>
      </c>
      <c r="O170" s="55">
        <f t="shared" si="40"/>
        <v>0</v>
      </c>
      <c r="P170" s="55"/>
      <c r="Q170" s="55">
        <f t="shared" si="45"/>
        <v>0</v>
      </c>
      <c r="R170" s="55">
        <f t="shared" si="46"/>
        <v>0</v>
      </c>
      <c r="S170" s="55">
        <f t="shared" si="47"/>
        <v>0</v>
      </c>
      <c r="T170" s="55">
        <f t="shared" si="48"/>
        <v>0</v>
      </c>
      <c r="U170" s="55">
        <f t="shared" si="52"/>
        <v>0</v>
      </c>
      <c r="V170" s="55">
        <f t="shared" si="49"/>
        <v>0</v>
      </c>
      <c r="W170" s="55">
        <f t="shared" si="50"/>
        <v>0</v>
      </c>
      <c r="X170" s="14">
        <f>SUMPRODUCT((Annee_debut=$A170)*(emprunts!$C$2:$C$149=$C170),fraction_annee_absente)</f>
        <v>0</v>
      </c>
      <c r="Z170" s="14">
        <f t="shared" si="64"/>
        <v>0</v>
      </c>
      <c r="AA170" s="12" t="e">
        <f t="shared" si="51"/>
        <v>#DIV/0!</v>
      </c>
    </row>
    <row r="171" spans="1:27">
      <c r="A171">
        <v>2014</v>
      </c>
      <c r="B171" s="1" t="s">
        <v>173</v>
      </c>
      <c r="C171" s="17" t="str">
        <f t="shared" si="63"/>
        <v>Crédit Agricole</v>
      </c>
      <c r="E171" s="14">
        <f t="shared" si="65"/>
        <v>9613679</v>
      </c>
      <c r="F171" s="14">
        <f t="shared" si="66"/>
        <v>1770499.54</v>
      </c>
      <c r="G171" s="14">
        <f t="shared" si="67"/>
        <v>351895.53</v>
      </c>
      <c r="H171" s="14">
        <f t="shared" si="68"/>
        <v>1527010.9200000002</v>
      </c>
      <c r="I171" s="14">
        <f t="shared" si="62"/>
        <v>-108406.91000000015</v>
      </c>
      <c r="K171" s="12">
        <f t="shared" si="42"/>
        <v>3.0910928598279E-2</v>
      </c>
      <c r="L171" s="1" t="str">
        <f t="shared" si="43"/>
        <v>2014_0023</v>
      </c>
      <c r="M171" s="14">
        <f t="shared" si="44"/>
        <v>-0.22000000067055225</v>
      </c>
      <c r="O171" s="55">
        <f t="shared" si="40"/>
        <v>9613679</v>
      </c>
      <c r="P171" s="55"/>
      <c r="Q171" s="55">
        <f t="shared" si="45"/>
        <v>243488.62000000002</v>
      </c>
      <c r="R171" s="55">
        <f t="shared" si="46"/>
        <v>1527010.9200000002</v>
      </c>
      <c r="S171" s="55">
        <f t="shared" si="47"/>
        <v>-108406.91</v>
      </c>
      <c r="T171" s="55">
        <f t="shared" si="48"/>
        <v>93678.040000000008</v>
      </c>
      <c r="U171" s="55">
        <f t="shared" si="52"/>
        <v>0</v>
      </c>
      <c r="V171" s="55">
        <f t="shared" si="49"/>
        <v>9613679</v>
      </c>
      <c r="W171" s="55">
        <f t="shared" si="50"/>
        <v>10348753.817643834</v>
      </c>
      <c r="X171" s="14">
        <f>SUMPRODUCT((Annee_debut=$A171)*(emprunts!$C$2:$C$149=$C171),fraction_annee_absente)</f>
        <v>0</v>
      </c>
      <c r="Z171" s="14">
        <f t="shared" si="64"/>
        <v>10348753.817643834</v>
      </c>
      <c r="AA171" s="12">
        <f t="shared" si="51"/>
        <v>3.4003662296038489E-2</v>
      </c>
    </row>
    <row r="172" spans="1:27">
      <c r="A172">
        <v>2014</v>
      </c>
      <c r="B172" s="1" t="s">
        <v>172</v>
      </c>
      <c r="C172" s="17" t="str">
        <f t="shared" si="63"/>
        <v>Rheinboden Hypothekenbank</v>
      </c>
      <c r="E172" s="14">
        <f t="shared" si="65"/>
        <v>0</v>
      </c>
      <c r="F172" s="14">
        <f t="shared" si="66"/>
        <v>0</v>
      </c>
      <c r="G172" s="14">
        <f t="shared" si="67"/>
        <v>0</v>
      </c>
      <c r="H172" s="14">
        <f t="shared" si="68"/>
        <v>0</v>
      </c>
      <c r="I172" s="14">
        <f t="shared" si="62"/>
        <v>0</v>
      </c>
      <c r="K172" s="12" t="str">
        <f t="shared" si="42"/>
        <v/>
      </c>
      <c r="L172" s="1" t="str">
        <f t="shared" si="43"/>
        <v>2014_0025</v>
      </c>
      <c r="M172" s="14" t="str">
        <f t="shared" si="44"/>
        <v/>
      </c>
      <c r="O172" s="55">
        <f t="shared" si="40"/>
        <v>0</v>
      </c>
      <c r="P172" s="55"/>
      <c r="Q172" s="55">
        <f t="shared" si="45"/>
        <v>0</v>
      </c>
      <c r="R172" s="55">
        <f t="shared" si="46"/>
        <v>0</v>
      </c>
      <c r="S172" s="55">
        <f t="shared" si="47"/>
        <v>0</v>
      </c>
      <c r="T172" s="55">
        <f t="shared" si="48"/>
        <v>0</v>
      </c>
      <c r="U172" s="55">
        <f t="shared" si="52"/>
        <v>0</v>
      </c>
      <c r="V172" s="55">
        <f t="shared" si="49"/>
        <v>0</v>
      </c>
      <c r="W172" s="55">
        <f t="shared" si="50"/>
        <v>0</v>
      </c>
      <c r="X172" s="14">
        <f>SUMPRODUCT((Annee_debut=$A172)*(emprunts!$C$2:$C$149=$C172),fraction_annee_absente)</f>
        <v>0</v>
      </c>
      <c r="Z172" s="14">
        <f t="shared" si="64"/>
        <v>0</v>
      </c>
      <c r="AA172" s="12" t="e">
        <f t="shared" si="51"/>
        <v>#DIV/0!</v>
      </c>
    </row>
    <row r="173" spans="1:27">
      <c r="A173">
        <v>2014</v>
      </c>
      <c r="B173" s="1" t="s">
        <v>277</v>
      </c>
      <c r="C173" s="17" t="str">
        <f t="shared" si="63"/>
        <v>Arkea</v>
      </c>
      <c r="E173" s="14">
        <f t="shared" si="65"/>
        <v>8223584</v>
      </c>
      <c r="F173" s="14">
        <f t="shared" si="66"/>
        <v>514180.83</v>
      </c>
      <c r="G173" s="14">
        <f t="shared" si="67"/>
        <v>60436</v>
      </c>
      <c r="H173" s="14">
        <f t="shared" si="68"/>
        <v>453744.83</v>
      </c>
      <c r="I173" s="14">
        <f t="shared" si="62"/>
        <v>0</v>
      </c>
      <c r="K173" s="12">
        <f t="shared" si="42"/>
        <v>6.9166430060581064E-3</v>
      </c>
      <c r="L173" s="1" t="str">
        <f t="shared" si="43"/>
        <v>2014_Arkea</v>
      </c>
      <c r="M173" s="14">
        <f t="shared" si="44"/>
        <v>-0.12000000011175871</v>
      </c>
      <c r="O173" s="55">
        <f t="shared" si="40"/>
        <v>8223584</v>
      </c>
      <c r="P173" s="55"/>
      <c r="Q173" s="55">
        <f t="shared" si="45"/>
        <v>60436</v>
      </c>
      <c r="R173" s="55">
        <f t="shared" si="46"/>
        <v>453744.83</v>
      </c>
      <c r="S173" s="55">
        <f t="shared" si="47"/>
        <v>0</v>
      </c>
      <c r="T173" s="55">
        <f t="shared" si="48"/>
        <v>7336.35</v>
      </c>
      <c r="U173" s="55">
        <f t="shared" si="52"/>
        <v>0</v>
      </c>
      <c r="V173" s="55">
        <f t="shared" si="49"/>
        <v>8223584</v>
      </c>
      <c r="W173" s="55">
        <f t="shared" si="50"/>
        <v>8427304.4796164371</v>
      </c>
      <c r="X173" s="14">
        <f>SUMPRODUCT((Annee_debut=$A173)*(emprunts!$C$2:$C$149=$C173),fraction_annee_absente)</f>
        <v>0</v>
      </c>
      <c r="Z173" s="14">
        <f t="shared" si="64"/>
        <v>8427304.4796164371</v>
      </c>
      <c r="AA173" s="12">
        <f t="shared" si="51"/>
        <v>7.1714508650043106E-3</v>
      </c>
    </row>
    <row r="174" spans="1:27">
      <c r="A174">
        <v>2015</v>
      </c>
      <c r="B174" s="1" t="s">
        <v>162</v>
      </c>
      <c r="C174" s="17" t="str">
        <f t="shared" ref="C174:C185" si="69">VLOOKUP(B174,preteurs,2,FALSE)</f>
        <v>CDC</v>
      </c>
      <c r="E174" s="14">
        <f t="shared" si="65"/>
        <v>5758317</v>
      </c>
      <c r="F174" s="14">
        <f t="shared" si="66"/>
        <v>651833.30000000005</v>
      </c>
      <c r="G174" s="14">
        <f t="shared" si="67"/>
        <v>117963.65000000001</v>
      </c>
      <c r="H174" s="14">
        <f t="shared" si="68"/>
        <v>533869.65</v>
      </c>
      <c r="I174" s="14">
        <f t="shared" si="62"/>
        <v>0</v>
      </c>
      <c r="K174" s="12">
        <f t="shared" si="42"/>
        <v>1.8402634022481504E-2</v>
      </c>
      <c r="L174" s="1" t="str">
        <f t="shared" si="43"/>
        <v>2015_0001</v>
      </c>
      <c r="M174" s="14">
        <f t="shared" si="44"/>
        <v>4791665.6099999994</v>
      </c>
      <c r="O174" s="55">
        <f t="shared" ref="O174:O221" si="70">SUMPRODUCT((annee=$A174)*(preteur=$C174),encours)</f>
        <v>5758317</v>
      </c>
      <c r="P174" s="55"/>
      <c r="Q174" s="55">
        <f t="shared" si="45"/>
        <v>117963.65000000001</v>
      </c>
      <c r="R174" s="55">
        <f t="shared" si="46"/>
        <v>533869.65</v>
      </c>
      <c r="S174" s="55">
        <f t="shared" si="47"/>
        <v>0</v>
      </c>
      <c r="T174" s="55">
        <f t="shared" si="48"/>
        <v>31877.309999999998</v>
      </c>
      <c r="U174" s="55">
        <f t="shared" si="52"/>
        <v>0</v>
      </c>
      <c r="V174" s="55">
        <f t="shared" si="49"/>
        <v>5758317</v>
      </c>
      <c r="W174" s="55">
        <f t="shared" si="50"/>
        <v>6008744.2857534252</v>
      </c>
      <c r="X174" s="14">
        <f>SUMPRODUCT((Annee_debut=$A174)*(emprunts!$C$2:$C$149=$C174),fraction_annee_absente)</f>
        <v>0</v>
      </c>
      <c r="Z174" s="14">
        <f t="shared" si="64"/>
        <v>6008744.2857534252</v>
      </c>
      <c r="AA174" s="12">
        <f t="shared" si="51"/>
        <v>1.9631997034669744E-2</v>
      </c>
    </row>
    <row r="175" spans="1:27">
      <c r="A175">
        <v>2015</v>
      </c>
      <c r="B175" s="1" t="s">
        <v>163</v>
      </c>
      <c r="C175" s="17" t="str">
        <f t="shared" si="69"/>
        <v>Dexia CL</v>
      </c>
      <c r="E175" s="14">
        <f t="shared" si="65"/>
        <v>192113680</v>
      </c>
      <c r="F175" s="14">
        <f t="shared" si="66"/>
        <v>15116515.01</v>
      </c>
      <c r="G175" s="14">
        <f t="shared" si="67"/>
        <v>7325710.1099999994</v>
      </c>
      <c r="H175" s="14">
        <f t="shared" si="68"/>
        <v>7790804.9000000004</v>
      </c>
      <c r="I175" s="14">
        <f t="shared" si="62"/>
        <v>0</v>
      </c>
      <c r="K175" s="12">
        <f t="shared" si="42"/>
        <v>3.5350592174304009E-2</v>
      </c>
      <c r="L175" s="1" t="str">
        <f t="shared" si="43"/>
        <v>2015_0002</v>
      </c>
      <c r="M175" s="14">
        <f t="shared" si="44"/>
        <v>24200002.360000014</v>
      </c>
      <c r="O175" s="55">
        <f t="shared" si="70"/>
        <v>192113680</v>
      </c>
      <c r="P175" s="55"/>
      <c r="Q175" s="55">
        <f t="shared" si="45"/>
        <v>7325710.1099999994</v>
      </c>
      <c r="R175" s="55">
        <f t="shared" si="46"/>
        <v>7790804.9000000004</v>
      </c>
      <c r="S175" s="55">
        <f t="shared" si="47"/>
        <v>0</v>
      </c>
      <c r="T175" s="55">
        <f t="shared" si="48"/>
        <v>3574225.6099999994</v>
      </c>
      <c r="U175" s="55">
        <f t="shared" si="52"/>
        <v>0</v>
      </c>
      <c r="V175" s="55">
        <f t="shared" si="49"/>
        <v>192113680</v>
      </c>
      <c r="W175" s="55">
        <f t="shared" si="50"/>
        <v>184744751.16745204</v>
      </c>
      <c r="X175" s="14">
        <f>SUMPRODUCT((Annee_debut=$A175)*(emprunts!$C$2:$C$149=$C175),fraction_annee_absente)</f>
        <v>8928767.1232876703</v>
      </c>
      <c r="Z175" s="14">
        <f t="shared" si="64"/>
        <v>184744751.16745204</v>
      </c>
      <c r="AA175" s="12">
        <f t="shared" si="51"/>
        <v>3.9653143397616747E-2</v>
      </c>
    </row>
    <row r="176" spans="1:27">
      <c r="A176">
        <v>2015</v>
      </c>
      <c r="B176" s="1" t="s">
        <v>164</v>
      </c>
      <c r="C176" s="17" t="str">
        <f t="shared" si="69"/>
        <v>Caisse d'Épargne</v>
      </c>
      <c r="E176" s="14">
        <f t="shared" si="65"/>
        <v>76476445</v>
      </c>
      <c r="F176" s="14">
        <f t="shared" si="66"/>
        <v>7447472.5199999996</v>
      </c>
      <c r="G176" s="14">
        <f t="shared" si="67"/>
        <v>3350717.33</v>
      </c>
      <c r="H176" s="14">
        <f t="shared" si="68"/>
        <v>4096755.19</v>
      </c>
      <c r="I176" s="14">
        <f t="shared" si="62"/>
        <v>0</v>
      </c>
      <c r="K176" s="12">
        <f t="shared" si="42"/>
        <v>3.9925654438158077E-2</v>
      </c>
      <c r="L176" s="1" t="str">
        <f t="shared" si="43"/>
        <v>2015_0003</v>
      </c>
      <c r="M176" s="14">
        <f t="shared" si="44"/>
        <v>-2.3599999994039536</v>
      </c>
      <c r="O176" s="55">
        <f t="shared" si="70"/>
        <v>76476445</v>
      </c>
      <c r="P176" s="55"/>
      <c r="Q176" s="55">
        <f t="shared" si="45"/>
        <v>3350717.33</v>
      </c>
      <c r="R176" s="55">
        <f t="shared" si="46"/>
        <v>4096755.19</v>
      </c>
      <c r="S176" s="55">
        <f t="shared" si="47"/>
        <v>0</v>
      </c>
      <c r="T176" s="55">
        <f t="shared" si="48"/>
        <v>956682.19999999984</v>
      </c>
      <c r="U176" s="55">
        <f t="shared" si="52"/>
        <v>0</v>
      </c>
      <c r="V176" s="55">
        <f t="shared" si="49"/>
        <v>76476445</v>
      </c>
      <c r="W176" s="55">
        <f t="shared" si="50"/>
        <v>78309686.094739735</v>
      </c>
      <c r="X176" s="14">
        <f>SUMPRODUCT((Annee_debut=$A176)*(emprunts!$C$2:$C$149=$C176),fraction_annee_absente)</f>
        <v>0</v>
      </c>
      <c r="Z176" s="14">
        <f t="shared" si="64"/>
        <v>78309686.094739735</v>
      </c>
      <c r="AA176" s="12">
        <f t="shared" si="51"/>
        <v>4.2788031686735062E-2</v>
      </c>
    </row>
    <row r="177" spans="1:27">
      <c r="A177">
        <v>2015</v>
      </c>
      <c r="B177" s="1" t="s">
        <v>165</v>
      </c>
      <c r="C177" s="17" t="str">
        <f t="shared" si="69"/>
        <v>Crédit Mutuel</v>
      </c>
      <c r="E177" s="14">
        <f t="shared" si="65"/>
        <v>46907</v>
      </c>
      <c r="F177" s="14">
        <f t="shared" si="66"/>
        <v>49537.02</v>
      </c>
      <c r="G177" s="14">
        <f t="shared" si="67"/>
        <v>2629.63</v>
      </c>
      <c r="H177" s="14">
        <f t="shared" si="68"/>
        <v>46907.39</v>
      </c>
      <c r="I177" s="14">
        <f t="shared" si="62"/>
        <v>0</v>
      </c>
      <c r="K177" s="12">
        <f t="shared" si="42"/>
        <v>2.7265868842879012E-2</v>
      </c>
      <c r="L177" s="1" t="str">
        <f t="shared" si="43"/>
        <v>2015_0004</v>
      </c>
      <c r="M177" s="14">
        <f t="shared" si="44"/>
        <v>0.38999999999941792</v>
      </c>
      <c r="O177" s="55">
        <f t="shared" si="70"/>
        <v>46907</v>
      </c>
      <c r="P177" s="55"/>
      <c r="Q177" s="55">
        <f t="shared" si="45"/>
        <v>2629.63</v>
      </c>
      <c r="R177" s="55">
        <f t="shared" si="46"/>
        <v>46907.39</v>
      </c>
      <c r="S177" s="55">
        <f t="shared" si="47"/>
        <v>0</v>
      </c>
      <c r="T177" s="55">
        <f t="shared" si="48"/>
        <v>1099.27</v>
      </c>
      <c r="U177" s="55">
        <f t="shared" si="52"/>
        <v>0</v>
      </c>
      <c r="V177" s="55">
        <f t="shared" si="49"/>
        <v>46907</v>
      </c>
      <c r="W177" s="55">
        <f t="shared" si="50"/>
        <v>70167.925972602752</v>
      </c>
      <c r="X177" s="14">
        <f>SUMPRODUCT((Annee_debut=$A177)*(emprunts!$C$2:$C$149=$C177),fraction_annee_absente)</f>
        <v>0</v>
      </c>
      <c r="Z177" s="14">
        <f t="shared" si="64"/>
        <v>70167.925972602752</v>
      </c>
      <c r="AA177" s="12">
        <f t="shared" si="51"/>
        <v>3.7476239514714259E-2</v>
      </c>
    </row>
    <row r="178" spans="1:27">
      <c r="A178">
        <v>2015</v>
      </c>
      <c r="B178" s="1" t="s">
        <v>166</v>
      </c>
      <c r="C178" s="17" t="str">
        <f t="shared" si="69"/>
        <v>Société générale</v>
      </c>
      <c r="E178" s="14">
        <f t="shared" si="65"/>
        <v>21849051</v>
      </c>
      <c r="F178" s="14">
        <f t="shared" si="66"/>
        <v>1852828.51</v>
      </c>
      <c r="G178" s="14">
        <f t="shared" si="67"/>
        <v>916048.06</v>
      </c>
      <c r="H178" s="14">
        <f t="shared" si="68"/>
        <v>936780.45000000007</v>
      </c>
      <c r="I178" s="14">
        <f t="shared" ref="I178:I205" si="71">F178-SUM(G178:H178)</f>
        <v>0</v>
      </c>
      <c r="K178" s="12">
        <f t="shared" si="42"/>
        <v>3.8648751868539055E-2</v>
      </c>
      <c r="L178" s="1" t="str">
        <f t="shared" si="43"/>
        <v>2015_0005</v>
      </c>
      <c r="M178" s="14">
        <f t="shared" si="44"/>
        <v>0.74000000208616257</v>
      </c>
      <c r="O178" s="55">
        <f t="shared" si="70"/>
        <v>21849051</v>
      </c>
      <c r="P178" s="55"/>
      <c r="Q178" s="55">
        <f t="shared" si="45"/>
        <v>916048.06</v>
      </c>
      <c r="R178" s="55">
        <f t="shared" si="46"/>
        <v>936780.45000000007</v>
      </c>
      <c r="S178" s="55">
        <f t="shared" si="47"/>
        <v>0</v>
      </c>
      <c r="T178" s="55">
        <f t="shared" si="48"/>
        <v>56455.71</v>
      </c>
      <c r="U178" s="55">
        <f t="shared" si="52"/>
        <v>0</v>
      </c>
      <c r="V178" s="55">
        <f t="shared" si="49"/>
        <v>21849051</v>
      </c>
      <c r="W178" s="55">
        <f t="shared" si="50"/>
        <v>22256297.55041096</v>
      </c>
      <c r="X178" s="14">
        <f>SUMPRODUCT((Annee_debut=$A178)*(emprunts!$C$2:$C$149=$C178),fraction_annee_absente)</f>
        <v>0</v>
      </c>
      <c r="Z178" s="14">
        <f t="shared" si="64"/>
        <v>22256297.55041096</v>
      </c>
      <c r="AA178" s="12">
        <f t="shared" si="51"/>
        <v>4.1159049834103484E-2</v>
      </c>
    </row>
    <row r="179" spans="1:27">
      <c r="A179">
        <v>2015</v>
      </c>
      <c r="B179" s="1" t="s">
        <v>167</v>
      </c>
      <c r="C179" s="17" t="str">
        <f t="shared" si="69"/>
        <v>Crédit Foncier</v>
      </c>
      <c r="E179" s="14">
        <f t="shared" si="65"/>
        <v>5000000</v>
      </c>
      <c r="F179" s="14">
        <f t="shared" si="66"/>
        <v>0</v>
      </c>
      <c r="G179" s="14">
        <f t="shared" si="67"/>
        <v>0</v>
      </c>
      <c r="H179" s="14">
        <f t="shared" si="68"/>
        <v>0</v>
      </c>
      <c r="I179" s="14">
        <f t="shared" si="71"/>
        <v>0</v>
      </c>
      <c r="K179" s="12">
        <f t="shared" si="42"/>
        <v>0</v>
      </c>
      <c r="L179" s="1" t="str">
        <f t="shared" si="43"/>
        <v>2015_0014</v>
      </c>
      <c r="M179" s="14">
        <f t="shared" si="44"/>
        <v>0.33000000007450581</v>
      </c>
      <c r="O179" s="55">
        <f t="shared" si="70"/>
        <v>5000000</v>
      </c>
      <c r="P179" s="55"/>
      <c r="Q179" s="55">
        <f t="shared" si="45"/>
        <v>0</v>
      </c>
      <c r="R179" s="55">
        <f t="shared" si="46"/>
        <v>0</v>
      </c>
      <c r="S179" s="55">
        <f t="shared" si="47"/>
        <v>0</v>
      </c>
      <c r="T179" s="55">
        <f t="shared" si="48"/>
        <v>163578.07999999999</v>
      </c>
      <c r="U179" s="55">
        <f t="shared" si="52"/>
        <v>0</v>
      </c>
      <c r="V179" s="55">
        <f t="shared" si="49"/>
        <v>5000000</v>
      </c>
      <c r="W179" s="55">
        <f t="shared" si="50"/>
        <v>4397260.2739726026</v>
      </c>
      <c r="X179" s="14">
        <f>SUMPRODUCT((Annee_debut=$A179)*(emprunts!$C$2:$C$149=$C179),fraction_annee_absente)</f>
        <v>589041.09589041094</v>
      </c>
      <c r="Z179" s="14">
        <f t="shared" si="64"/>
        <v>4397260.2739726026</v>
      </c>
      <c r="AA179" s="12">
        <f t="shared" si="51"/>
        <v>0</v>
      </c>
    </row>
    <row r="180" spans="1:27">
      <c r="A180">
        <v>2015</v>
      </c>
      <c r="B180" s="1" t="s">
        <v>168</v>
      </c>
      <c r="C180" s="17" t="str">
        <f t="shared" si="69"/>
        <v>Auxifip CEPME</v>
      </c>
      <c r="E180" s="14">
        <f t="shared" si="65"/>
        <v>0</v>
      </c>
      <c r="F180" s="14">
        <f t="shared" si="66"/>
        <v>0</v>
      </c>
      <c r="G180" s="14">
        <f t="shared" si="67"/>
        <v>0</v>
      </c>
      <c r="H180" s="14">
        <f t="shared" si="68"/>
        <v>0</v>
      </c>
      <c r="I180" s="14">
        <f t="shared" si="71"/>
        <v>0</v>
      </c>
      <c r="K180" s="12" t="str">
        <f t="shared" si="42"/>
        <v/>
      </c>
      <c r="L180" s="1" t="str">
        <f t="shared" si="43"/>
        <v>2015_0015</v>
      </c>
      <c r="M180" s="14" t="str">
        <f t="shared" si="44"/>
        <v/>
      </c>
      <c r="O180" s="55">
        <f t="shared" si="70"/>
        <v>0</v>
      </c>
      <c r="P180" s="55"/>
      <c r="Q180" s="55">
        <f t="shared" si="45"/>
        <v>0</v>
      </c>
      <c r="R180" s="55">
        <f t="shared" si="46"/>
        <v>0</v>
      </c>
      <c r="S180" s="55">
        <f t="shared" si="47"/>
        <v>0</v>
      </c>
      <c r="T180" s="55">
        <f t="shared" si="48"/>
        <v>0</v>
      </c>
      <c r="U180" s="55">
        <f t="shared" si="52"/>
        <v>0</v>
      </c>
      <c r="V180" s="55">
        <f t="shared" si="49"/>
        <v>0</v>
      </c>
      <c r="W180" s="55">
        <f t="shared" si="50"/>
        <v>0</v>
      </c>
      <c r="X180" s="14">
        <f>SUMPRODUCT((Annee_debut=$A180)*(emprunts!$C$2:$C$149=$C180),fraction_annee_absente)</f>
        <v>0</v>
      </c>
      <c r="Z180" s="14">
        <f t="shared" si="64"/>
        <v>0</v>
      </c>
      <c r="AA180" s="12" t="e">
        <f t="shared" si="51"/>
        <v>#DIV/0!</v>
      </c>
    </row>
    <row r="181" spans="1:27">
      <c r="A181">
        <v>2015</v>
      </c>
      <c r="B181" s="1" t="s">
        <v>169</v>
      </c>
      <c r="C181" s="17" t="str">
        <f t="shared" si="69"/>
        <v>Natixis</v>
      </c>
      <c r="E181" s="14">
        <f t="shared" si="65"/>
        <v>0</v>
      </c>
      <c r="F181" s="14">
        <f t="shared" si="66"/>
        <v>0</v>
      </c>
      <c r="G181" s="14">
        <f t="shared" si="67"/>
        <v>0</v>
      </c>
      <c r="H181" s="14">
        <f t="shared" si="68"/>
        <v>0</v>
      </c>
      <c r="I181" s="14">
        <f t="shared" si="71"/>
        <v>0</v>
      </c>
      <c r="K181" s="12" t="str">
        <f t="shared" si="42"/>
        <v/>
      </c>
      <c r="L181" s="1" t="str">
        <f t="shared" si="43"/>
        <v>2015_0016</v>
      </c>
      <c r="M181" s="14" t="str">
        <f t="shared" si="44"/>
        <v/>
      </c>
      <c r="O181" s="55">
        <f t="shared" si="70"/>
        <v>0</v>
      </c>
      <c r="P181" s="55"/>
      <c r="Q181" s="55">
        <f t="shared" si="45"/>
        <v>0</v>
      </c>
      <c r="R181" s="55">
        <f t="shared" si="46"/>
        <v>0</v>
      </c>
      <c r="S181" s="55">
        <f t="shared" si="47"/>
        <v>0</v>
      </c>
      <c r="T181" s="55">
        <f t="shared" si="48"/>
        <v>0</v>
      </c>
      <c r="U181" s="55">
        <f t="shared" si="52"/>
        <v>0</v>
      </c>
      <c r="V181" s="55">
        <f t="shared" si="49"/>
        <v>0</v>
      </c>
      <c r="W181" s="55">
        <f t="shared" si="50"/>
        <v>0</v>
      </c>
      <c r="X181" s="14">
        <f>SUMPRODUCT((Annee_debut=$A181)*(emprunts!$C$2:$C$149=$C181),fraction_annee_absente)</f>
        <v>0</v>
      </c>
      <c r="Z181" s="14">
        <f t="shared" si="64"/>
        <v>0</v>
      </c>
      <c r="AA181" s="12" t="e">
        <f t="shared" si="51"/>
        <v>#DIV/0!</v>
      </c>
    </row>
    <row r="182" spans="1:27">
      <c r="A182">
        <v>2015</v>
      </c>
      <c r="B182" s="1" t="s">
        <v>171</v>
      </c>
      <c r="C182" s="17" t="str">
        <f t="shared" si="69"/>
        <v>Deutsche Hypothekenbank</v>
      </c>
      <c r="E182" s="14">
        <f t="shared" si="65"/>
        <v>0</v>
      </c>
      <c r="F182" s="14">
        <f t="shared" si="66"/>
        <v>0</v>
      </c>
      <c r="G182" s="14">
        <f t="shared" si="67"/>
        <v>0</v>
      </c>
      <c r="H182" s="14">
        <f t="shared" si="68"/>
        <v>0</v>
      </c>
      <c r="I182" s="14">
        <f t="shared" si="71"/>
        <v>0</v>
      </c>
      <c r="K182" s="12" t="str">
        <f t="shared" si="42"/>
        <v/>
      </c>
      <c r="L182" s="1" t="str">
        <f t="shared" si="43"/>
        <v>2015_0022</v>
      </c>
      <c r="M182" s="14" t="str">
        <f t="shared" si="44"/>
        <v/>
      </c>
      <c r="O182" s="55">
        <f t="shared" si="70"/>
        <v>0</v>
      </c>
      <c r="P182" s="55"/>
      <c r="Q182" s="55">
        <f t="shared" si="45"/>
        <v>0</v>
      </c>
      <c r="R182" s="55">
        <f t="shared" si="46"/>
        <v>0</v>
      </c>
      <c r="S182" s="55">
        <f t="shared" si="47"/>
        <v>0</v>
      </c>
      <c r="T182" s="55">
        <f t="shared" si="48"/>
        <v>0</v>
      </c>
      <c r="U182" s="55">
        <f t="shared" si="52"/>
        <v>0</v>
      </c>
      <c r="V182" s="55">
        <f t="shared" si="49"/>
        <v>0</v>
      </c>
      <c r="W182" s="55">
        <f t="shared" si="50"/>
        <v>0</v>
      </c>
      <c r="X182" s="14">
        <f>SUMPRODUCT((Annee_debut=$A182)*(emprunts!$C$2:$C$149=$C182),fraction_annee_absente)</f>
        <v>0</v>
      </c>
      <c r="Z182" s="14">
        <f t="shared" si="64"/>
        <v>0</v>
      </c>
      <c r="AA182" s="12" t="e">
        <f t="shared" si="51"/>
        <v>#DIV/0!</v>
      </c>
    </row>
    <row r="183" spans="1:27">
      <c r="A183">
        <v>2015</v>
      </c>
      <c r="B183" s="1" t="s">
        <v>173</v>
      </c>
      <c r="C183" s="17" t="str">
        <f t="shared" si="69"/>
        <v>Crédit Agricole</v>
      </c>
      <c r="E183" s="14">
        <f t="shared" si="65"/>
        <v>8031030</v>
      </c>
      <c r="F183" s="14">
        <f t="shared" si="66"/>
        <v>1901506.27</v>
      </c>
      <c r="G183" s="14">
        <f t="shared" si="67"/>
        <v>318857.49</v>
      </c>
      <c r="H183" s="14">
        <f t="shared" si="68"/>
        <v>1582648.7799999998</v>
      </c>
      <c r="I183" s="14">
        <f t="shared" si="71"/>
        <v>0</v>
      </c>
      <c r="K183" s="12">
        <f t="shared" si="42"/>
        <v>3.210232324678941E-2</v>
      </c>
      <c r="L183" s="1" t="str">
        <f t="shared" si="43"/>
        <v>2015_0023</v>
      </c>
      <c r="M183" s="14">
        <f t="shared" si="44"/>
        <v>90.849999999627471</v>
      </c>
      <c r="O183" s="55">
        <f t="shared" si="70"/>
        <v>8031030</v>
      </c>
      <c r="P183" s="55"/>
      <c r="Q183" s="55">
        <f t="shared" si="45"/>
        <v>318857.49</v>
      </c>
      <c r="R183" s="55">
        <f t="shared" si="46"/>
        <v>1582648.7799999998</v>
      </c>
      <c r="S183" s="55">
        <f t="shared" si="47"/>
        <v>0</v>
      </c>
      <c r="T183" s="55">
        <f t="shared" si="48"/>
        <v>106826.62000000001</v>
      </c>
      <c r="U183" s="55">
        <f t="shared" si="52"/>
        <v>0</v>
      </c>
      <c r="V183" s="55">
        <f t="shared" si="49"/>
        <v>8031030</v>
      </c>
      <c r="W183" s="55">
        <f t="shared" si="50"/>
        <v>8798183.5560547952</v>
      </c>
      <c r="X183" s="14">
        <f>SUMPRODUCT((Annee_debut=$A183)*(emprunts!$C$2:$C$149=$C183),fraction_annee_absente)</f>
        <v>0</v>
      </c>
      <c r="Z183" s="14">
        <f t="shared" si="64"/>
        <v>8798183.5560547952</v>
      </c>
      <c r="AA183" s="12">
        <f t="shared" si="51"/>
        <v>3.6241286393776863E-2</v>
      </c>
    </row>
    <row r="184" spans="1:27">
      <c r="A184">
        <v>2015</v>
      </c>
      <c r="B184" s="1" t="s">
        <v>172</v>
      </c>
      <c r="C184" s="17" t="str">
        <f t="shared" si="69"/>
        <v>Rheinboden Hypothekenbank</v>
      </c>
      <c r="E184" s="14">
        <f t="shared" si="65"/>
        <v>0</v>
      </c>
      <c r="F184" s="14">
        <f t="shared" si="66"/>
        <v>0</v>
      </c>
      <c r="G184" s="14">
        <f t="shared" si="67"/>
        <v>0</v>
      </c>
      <c r="H184" s="14">
        <f t="shared" si="68"/>
        <v>0</v>
      </c>
      <c r="I184" s="14">
        <f t="shared" si="71"/>
        <v>0</v>
      </c>
      <c r="K184" s="12" t="str">
        <f t="shared" si="42"/>
        <v/>
      </c>
      <c r="L184" s="1" t="str">
        <f t="shared" si="43"/>
        <v>2015_0025</v>
      </c>
      <c r="M184" s="14" t="str">
        <f t="shared" si="44"/>
        <v/>
      </c>
      <c r="O184" s="55">
        <f t="shared" si="70"/>
        <v>0</v>
      </c>
      <c r="P184" s="55"/>
      <c r="Q184" s="55">
        <f t="shared" si="45"/>
        <v>0</v>
      </c>
      <c r="R184" s="55">
        <f t="shared" si="46"/>
        <v>0</v>
      </c>
      <c r="S184" s="55">
        <f t="shared" si="47"/>
        <v>0</v>
      </c>
      <c r="T184" s="55">
        <f t="shared" si="48"/>
        <v>0</v>
      </c>
      <c r="U184" s="55">
        <f t="shared" si="52"/>
        <v>0</v>
      </c>
      <c r="V184" s="55">
        <f t="shared" si="49"/>
        <v>0</v>
      </c>
      <c r="W184" s="55">
        <f t="shared" si="50"/>
        <v>0</v>
      </c>
      <c r="X184" s="14">
        <f>SUMPRODUCT((Annee_debut=$A184)*(emprunts!$C$2:$C$149=$C184),fraction_annee_absente)</f>
        <v>0</v>
      </c>
      <c r="Z184" s="14">
        <f t="shared" si="64"/>
        <v>0</v>
      </c>
      <c r="AA184" s="12" t="e">
        <f t="shared" si="51"/>
        <v>#DIV/0!</v>
      </c>
    </row>
    <row r="185" spans="1:27">
      <c r="A185">
        <v>2015</v>
      </c>
      <c r="B185" s="1" t="s">
        <v>277</v>
      </c>
      <c r="C185" s="17" t="str">
        <f t="shared" si="69"/>
        <v>Arkea</v>
      </c>
      <c r="E185" s="14">
        <f t="shared" si="65"/>
        <v>7763256</v>
      </c>
      <c r="F185" s="14">
        <f t="shared" si="66"/>
        <v>497788.97</v>
      </c>
      <c r="G185" s="14">
        <f t="shared" si="67"/>
        <v>37461.089999999997</v>
      </c>
      <c r="H185" s="14">
        <f t="shared" si="68"/>
        <v>460327.88</v>
      </c>
      <c r="I185" s="14">
        <f t="shared" si="71"/>
        <v>0</v>
      </c>
      <c r="K185" s="12">
        <f t="shared" si="42"/>
        <v>4.5346672407715989E-3</v>
      </c>
      <c r="L185" s="1" t="str">
        <f t="shared" si="43"/>
        <v>2015_Arkea</v>
      </c>
      <c r="M185" s="14">
        <f t="shared" si="44"/>
        <v>9999999.5899999999</v>
      </c>
      <c r="O185" s="55">
        <f t="shared" si="70"/>
        <v>7763256</v>
      </c>
      <c r="P185" s="55"/>
      <c r="Q185" s="55">
        <f t="shared" si="45"/>
        <v>37461.089999999997</v>
      </c>
      <c r="R185" s="55">
        <f t="shared" si="46"/>
        <v>460327.88</v>
      </c>
      <c r="S185" s="55">
        <f t="shared" si="47"/>
        <v>0</v>
      </c>
      <c r="T185" s="55">
        <f t="shared" si="48"/>
        <v>4839.96</v>
      </c>
      <c r="U185" s="55">
        <f t="shared" si="52"/>
        <v>0</v>
      </c>
      <c r="V185" s="55">
        <f t="shared" si="49"/>
        <v>7763256</v>
      </c>
      <c r="W185" s="55">
        <f t="shared" si="50"/>
        <v>7971520.1593424659</v>
      </c>
      <c r="X185" s="14">
        <f>SUMPRODUCT((Annee_debut=$A185)*(emprunts!$C$2:$C$149=$C185),fraction_annee_absente)</f>
        <v>0</v>
      </c>
      <c r="Z185" s="14">
        <f t="shared" si="64"/>
        <v>7971520.1593424659</v>
      </c>
      <c r="AA185" s="12">
        <f t="shared" si="51"/>
        <v>4.6993658989993685E-3</v>
      </c>
    </row>
    <row r="186" spans="1:27">
      <c r="A186">
        <v>2016</v>
      </c>
      <c r="B186" s="1" t="s">
        <v>162</v>
      </c>
      <c r="C186" s="17" t="str">
        <f t="shared" ref="C186:C197" si="72">VLOOKUP(B186,preteurs,2,FALSE)</f>
        <v>CDC</v>
      </c>
      <c r="E186" s="14">
        <f t="shared" si="65"/>
        <v>5295002</v>
      </c>
      <c r="F186" s="14">
        <f t="shared" si="66"/>
        <v>5340541.08</v>
      </c>
      <c r="G186" s="14">
        <f t="shared" si="67"/>
        <v>85560.47</v>
      </c>
      <c r="H186" s="14">
        <f t="shared" si="68"/>
        <v>5254980.6100000003</v>
      </c>
      <c r="I186" s="14">
        <f t="shared" si="71"/>
        <v>0</v>
      </c>
      <c r="K186" s="12">
        <f t="shared" ref="K186:K209" si="73">IF(E186+F186=0,"",G186/(E186+F186))</f>
        <v>8.0447673763736002E-3</v>
      </c>
      <c r="L186" s="1" t="str">
        <f t="shared" ref="L186:L209" si="74">A186&amp;"_"&amp;B186</f>
        <v>2016_0001</v>
      </c>
      <c r="M186" s="14">
        <f t="shared" si="44"/>
        <v>-0.12000000011175871</v>
      </c>
      <c r="O186" s="55">
        <f t="shared" si="70"/>
        <v>5295002</v>
      </c>
      <c r="P186" s="55"/>
      <c r="Q186" s="55">
        <f t="shared" ref="Q186:Q221" si="75">SUMPRODUCT((annee=$A186)*(preteur=$C186),interet)+SUMPRODUCT((annee=$A186)*(preteur=$C186),Frais)</f>
        <v>85560.47</v>
      </c>
      <c r="R186" s="55">
        <f t="shared" ref="R186:R221" si="76">SUMPRODUCT((annee=$A186)*(preteur=$C186),amortissement)</f>
        <v>5254980.6100000003</v>
      </c>
      <c r="S186" s="55">
        <f t="shared" si="47"/>
        <v>0</v>
      </c>
      <c r="T186" s="55">
        <f t="shared" si="48"/>
        <v>21878.6</v>
      </c>
      <c r="U186" s="55">
        <f t="shared" ref="U186:U221" si="77">E186-O186</f>
        <v>0</v>
      </c>
      <c r="V186" s="55">
        <f t="shared" si="49"/>
        <v>5295002</v>
      </c>
      <c r="W186" s="55">
        <f t="shared" ref="W186:W221" si="78">SUMPRODUCT((annee=$A186)*(preteur=$C186),encours_moyen)</f>
        <v>7922492.3049999997</v>
      </c>
      <c r="X186" s="14">
        <f>SUMPRODUCT((Annee_debut=$A186)*(emprunts!$C$2:$C$149=$C186),fraction_annee_absente)</f>
        <v>0</v>
      </c>
      <c r="Z186" s="14">
        <f t="shared" si="64"/>
        <v>7922492.3049999997</v>
      </c>
      <c r="AA186" s="12">
        <f t="shared" si="51"/>
        <v>1.0799691145929109E-2</v>
      </c>
    </row>
    <row r="187" spans="1:27">
      <c r="A187">
        <v>2016</v>
      </c>
      <c r="B187" s="1" t="s">
        <v>163</v>
      </c>
      <c r="C187" s="17" t="str">
        <f t="shared" si="72"/>
        <v>Dexia CL</v>
      </c>
      <c r="E187" s="14">
        <f t="shared" si="65"/>
        <v>207852696</v>
      </c>
      <c r="F187" s="14">
        <f t="shared" si="66"/>
        <v>16151294.129999999</v>
      </c>
      <c r="G187" s="14">
        <f t="shared" si="67"/>
        <v>7690307.7699999986</v>
      </c>
      <c r="H187" s="14">
        <f t="shared" si="68"/>
        <v>8460986.3600000013</v>
      </c>
      <c r="I187" s="14">
        <f t="shared" si="71"/>
        <v>0</v>
      </c>
      <c r="K187" s="12">
        <f t="shared" si="73"/>
        <v>3.4331119573079716E-2</v>
      </c>
      <c r="L187" s="1" t="str">
        <f t="shared" si="74"/>
        <v>2016_0002</v>
      </c>
      <c r="M187" s="14">
        <f t="shared" si="44"/>
        <v>23199997.50999999</v>
      </c>
      <c r="O187" s="55">
        <f t="shared" si="70"/>
        <v>207852696</v>
      </c>
      <c r="P187" s="55"/>
      <c r="Q187" s="55">
        <f t="shared" si="75"/>
        <v>7690307.7699999986</v>
      </c>
      <c r="R187" s="55">
        <f t="shared" si="76"/>
        <v>8460986.3600000013</v>
      </c>
      <c r="S187" s="55">
        <f t="shared" si="47"/>
        <v>0</v>
      </c>
      <c r="T187" s="55">
        <f t="shared" si="48"/>
        <v>3362196.13</v>
      </c>
      <c r="U187" s="55">
        <f t="shared" si="77"/>
        <v>0</v>
      </c>
      <c r="V187" s="55">
        <f t="shared" si="49"/>
        <v>207852696</v>
      </c>
      <c r="W187" s="55">
        <f t="shared" si="78"/>
        <v>192080090.2837671</v>
      </c>
      <c r="X187" s="14">
        <f>SUMPRODUCT((Annee_debut=$A187)*(emprunts!$C$2:$C$149=$C187),fraction_annee_absente)</f>
        <v>19967123.287671234</v>
      </c>
      <c r="Z187" s="14">
        <f t="shared" si="64"/>
        <v>192080090.2837671</v>
      </c>
      <c r="AA187" s="12">
        <f t="shared" si="51"/>
        <v>4.0036985398324308E-2</v>
      </c>
    </row>
    <row r="188" spans="1:27">
      <c r="A188">
        <v>2016</v>
      </c>
      <c r="B188" s="1" t="s">
        <v>164</v>
      </c>
      <c r="C188" s="17" t="str">
        <f t="shared" si="72"/>
        <v>Caisse d'Épargne</v>
      </c>
      <c r="E188" s="14">
        <f t="shared" si="65"/>
        <v>72276249</v>
      </c>
      <c r="F188" s="14">
        <f t="shared" si="66"/>
        <v>7367392.1399999997</v>
      </c>
      <c r="G188" s="14">
        <f t="shared" si="67"/>
        <v>3167198.5</v>
      </c>
      <c r="H188" s="14">
        <f t="shared" si="68"/>
        <v>4200193.6400000006</v>
      </c>
      <c r="I188" s="14">
        <f t="shared" si="71"/>
        <v>0</v>
      </c>
      <c r="K188" s="12">
        <f t="shared" si="73"/>
        <v>3.9767123334210737E-2</v>
      </c>
      <c r="L188" s="1" t="str">
        <f t="shared" si="74"/>
        <v>2016_0003</v>
      </c>
      <c r="M188" s="14">
        <f t="shared" si="44"/>
        <v>1.6299999952316284</v>
      </c>
      <c r="O188" s="55">
        <f t="shared" si="70"/>
        <v>72276249</v>
      </c>
      <c r="P188" s="55"/>
      <c r="Q188" s="55">
        <f t="shared" si="75"/>
        <v>3167198.5</v>
      </c>
      <c r="R188" s="55">
        <f t="shared" si="76"/>
        <v>4200193.6400000006</v>
      </c>
      <c r="S188" s="55">
        <f t="shared" si="47"/>
        <v>0</v>
      </c>
      <c r="T188" s="55">
        <f t="shared" si="48"/>
        <v>895359.8</v>
      </c>
      <c r="U188" s="55">
        <f t="shared" si="77"/>
        <v>0</v>
      </c>
      <c r="V188" s="55">
        <f t="shared" si="49"/>
        <v>72276249</v>
      </c>
      <c r="W188" s="55">
        <f t="shared" si="78"/>
        <v>74376345.819999993</v>
      </c>
      <c r="X188" s="14">
        <f>SUMPRODUCT((Annee_debut=$A188)*(emprunts!$C$2:$C$149=$C188),fraction_annee_absente)</f>
        <v>0</v>
      </c>
      <c r="Z188" s="14">
        <f t="shared" si="64"/>
        <v>74376345.819999993</v>
      </c>
      <c r="AA188" s="12">
        <f t="shared" si="51"/>
        <v>4.2583410963278757E-2</v>
      </c>
    </row>
    <row r="189" spans="1:27">
      <c r="A189">
        <v>2016</v>
      </c>
      <c r="B189" s="1" t="s">
        <v>165</v>
      </c>
      <c r="C189" s="17" t="str">
        <f t="shared" si="72"/>
        <v>Crédit Mutuel</v>
      </c>
      <c r="E189" s="14">
        <f t="shared" si="65"/>
        <v>0</v>
      </c>
      <c r="F189" s="14">
        <f t="shared" si="66"/>
        <v>48222.2</v>
      </c>
      <c r="G189" s="14">
        <f t="shared" si="67"/>
        <v>1314.81</v>
      </c>
      <c r="H189" s="14">
        <f t="shared" si="68"/>
        <v>46907.39</v>
      </c>
      <c r="I189" s="14">
        <f t="shared" si="71"/>
        <v>0</v>
      </c>
      <c r="K189" s="12">
        <f t="shared" si="73"/>
        <v>2.7265657726109553E-2</v>
      </c>
      <c r="L189" s="1" t="str">
        <f t="shared" si="74"/>
        <v>2016_0004</v>
      </c>
      <c r="M189" s="14" t="str">
        <f t="shared" si="44"/>
        <v/>
      </c>
      <c r="O189" s="55">
        <f t="shared" si="70"/>
        <v>0</v>
      </c>
      <c r="P189" s="55"/>
      <c r="Q189" s="55">
        <f t="shared" si="75"/>
        <v>1314.81</v>
      </c>
      <c r="R189" s="55">
        <f t="shared" si="76"/>
        <v>46907.39</v>
      </c>
      <c r="S189" s="55">
        <f t="shared" si="47"/>
        <v>0</v>
      </c>
      <c r="T189" s="55">
        <f t="shared" si="48"/>
        <v>0</v>
      </c>
      <c r="U189" s="55">
        <f t="shared" si="77"/>
        <v>0</v>
      </c>
      <c r="V189" s="55">
        <f t="shared" si="49"/>
        <v>0</v>
      </c>
      <c r="W189" s="55">
        <f t="shared" si="78"/>
        <v>3791.1452191780822</v>
      </c>
      <c r="X189" s="14">
        <f>SUMPRODUCT((Annee_debut=$A189)*(emprunts!$C$2:$C$149=$C189),fraction_annee_absente)</f>
        <v>0</v>
      </c>
      <c r="Z189" s="14">
        <f t="shared" si="64"/>
        <v>3791.1452191780822</v>
      </c>
      <c r="AA189" s="12">
        <f t="shared" si="51"/>
        <v>0.34681077194005505</v>
      </c>
    </row>
    <row r="190" spans="1:27">
      <c r="A190">
        <v>2016</v>
      </c>
      <c r="B190" s="1" t="s">
        <v>166</v>
      </c>
      <c r="C190" s="17" t="str">
        <f t="shared" si="72"/>
        <v>Société générale</v>
      </c>
      <c r="E190" s="14">
        <f t="shared" si="65"/>
        <v>20745983</v>
      </c>
      <c r="F190" s="14">
        <f t="shared" si="66"/>
        <v>1724576.3099999998</v>
      </c>
      <c r="G190" s="14">
        <f t="shared" si="67"/>
        <v>621507.56999999995</v>
      </c>
      <c r="H190" s="14">
        <f t="shared" si="68"/>
        <v>1103068.7400000002</v>
      </c>
      <c r="I190" s="14">
        <f t="shared" si="71"/>
        <v>0</v>
      </c>
      <c r="K190" s="12">
        <f t="shared" si="73"/>
        <v>2.7658749451928973E-2</v>
      </c>
      <c r="L190" s="1" t="str">
        <f t="shared" si="74"/>
        <v>2016_0005</v>
      </c>
      <c r="M190" s="14">
        <f t="shared" si="44"/>
        <v>-0.4699999988079071</v>
      </c>
      <c r="O190" s="55">
        <f t="shared" si="70"/>
        <v>20745983</v>
      </c>
      <c r="P190" s="55"/>
      <c r="Q190" s="55">
        <f t="shared" si="75"/>
        <v>621507.56999999995</v>
      </c>
      <c r="R190" s="55">
        <f t="shared" si="76"/>
        <v>1103068.7400000002</v>
      </c>
      <c r="S190" s="55">
        <f t="shared" si="47"/>
        <v>0</v>
      </c>
      <c r="T190" s="55">
        <f t="shared" si="48"/>
        <v>52347.520000000004</v>
      </c>
      <c r="U190" s="55">
        <f t="shared" si="77"/>
        <v>0</v>
      </c>
      <c r="V190" s="55">
        <f t="shared" si="49"/>
        <v>20745983</v>
      </c>
      <c r="W190" s="55">
        <f t="shared" si="78"/>
        <v>21297517.370000001</v>
      </c>
      <c r="X190" s="14">
        <f>SUMPRODUCT((Annee_debut=$A190)*(emprunts!$C$2:$C$149=$C190),fraction_annee_absente)</f>
        <v>0</v>
      </c>
      <c r="Z190" s="14">
        <f t="shared" si="64"/>
        <v>21297517.370000001</v>
      </c>
      <c r="AA190" s="12">
        <f t="shared" si="51"/>
        <v>2.9182160493291334E-2</v>
      </c>
    </row>
    <row r="191" spans="1:27">
      <c r="A191">
        <v>2016</v>
      </c>
      <c r="B191" s="1" t="s">
        <v>167</v>
      </c>
      <c r="C191" s="17" t="str">
        <f t="shared" si="72"/>
        <v>Crédit Foncier</v>
      </c>
      <c r="E191" s="14">
        <f t="shared" si="65"/>
        <v>4666667</v>
      </c>
      <c r="F191" s="14">
        <f t="shared" si="66"/>
        <v>519333.33</v>
      </c>
      <c r="G191" s="14">
        <f t="shared" si="67"/>
        <v>186000</v>
      </c>
      <c r="H191" s="14">
        <f t="shared" si="68"/>
        <v>333333.33</v>
      </c>
      <c r="I191" s="14">
        <f t="shared" si="71"/>
        <v>0</v>
      </c>
      <c r="K191" s="12">
        <f t="shared" si="73"/>
        <v>3.586579023607582E-2</v>
      </c>
      <c r="L191" s="1" t="str">
        <f t="shared" si="74"/>
        <v>2016_0014</v>
      </c>
      <c r="M191" s="14">
        <f t="shared" si="44"/>
        <v>-0.66999999992549419</v>
      </c>
      <c r="O191" s="55">
        <f t="shared" si="70"/>
        <v>4666667</v>
      </c>
      <c r="P191" s="55"/>
      <c r="Q191" s="55">
        <f t="shared" si="75"/>
        <v>186000</v>
      </c>
      <c r="R191" s="55">
        <f t="shared" si="76"/>
        <v>333333.33</v>
      </c>
      <c r="S191" s="55">
        <f t="shared" si="47"/>
        <v>0</v>
      </c>
      <c r="T191" s="55">
        <f t="shared" si="48"/>
        <v>152864.44</v>
      </c>
      <c r="U191" s="55">
        <f t="shared" si="77"/>
        <v>0</v>
      </c>
      <c r="V191" s="55">
        <f t="shared" si="49"/>
        <v>4666667</v>
      </c>
      <c r="W191" s="55">
        <f t="shared" si="78"/>
        <v>4833333.665</v>
      </c>
      <c r="X191" s="14">
        <f>SUMPRODUCT((Annee_debut=$A191)*(emprunts!$C$2:$C$149=$C191),fraction_annee_absente)</f>
        <v>0</v>
      </c>
      <c r="Z191" s="14">
        <f t="shared" si="64"/>
        <v>4833333.665</v>
      </c>
      <c r="AA191" s="12">
        <f t="shared" si="51"/>
        <v>3.8482755979976399E-2</v>
      </c>
    </row>
    <row r="192" spans="1:27">
      <c r="A192">
        <v>2016</v>
      </c>
      <c r="B192" s="1" t="s">
        <v>168</v>
      </c>
      <c r="C192" s="17" t="str">
        <f t="shared" si="72"/>
        <v>Auxifip CEPME</v>
      </c>
      <c r="E192" s="14">
        <f t="shared" si="65"/>
        <v>0</v>
      </c>
      <c r="F192" s="14">
        <f t="shared" si="66"/>
        <v>0</v>
      </c>
      <c r="G192" s="14">
        <f t="shared" si="67"/>
        <v>0</v>
      </c>
      <c r="H192" s="14">
        <f t="shared" si="68"/>
        <v>0</v>
      </c>
      <c r="I192" s="14">
        <f t="shared" si="71"/>
        <v>0</v>
      </c>
      <c r="K192" s="12" t="str">
        <f t="shared" si="73"/>
        <v/>
      </c>
      <c r="L192" s="1" t="str">
        <f t="shared" si="74"/>
        <v>2016_0015</v>
      </c>
      <c r="M192" s="14" t="str">
        <f t="shared" si="44"/>
        <v/>
      </c>
      <c r="O192" s="55">
        <f t="shared" si="70"/>
        <v>0</v>
      </c>
      <c r="P192" s="55"/>
      <c r="Q192" s="55">
        <f t="shared" si="75"/>
        <v>0</v>
      </c>
      <c r="R192" s="55">
        <f t="shared" si="76"/>
        <v>0</v>
      </c>
      <c r="S192" s="55">
        <f t="shared" si="47"/>
        <v>0</v>
      </c>
      <c r="T192" s="55">
        <f t="shared" si="48"/>
        <v>0</v>
      </c>
      <c r="U192" s="55">
        <f t="shared" si="77"/>
        <v>0</v>
      </c>
      <c r="V192" s="55">
        <f t="shared" si="49"/>
        <v>0</v>
      </c>
      <c r="W192" s="55">
        <f t="shared" si="78"/>
        <v>0</v>
      </c>
      <c r="X192" s="14">
        <f>SUMPRODUCT((Annee_debut=$A192)*(emprunts!$C$2:$C$149=$C192),fraction_annee_absente)</f>
        <v>0</v>
      </c>
      <c r="Z192" s="14">
        <f t="shared" si="64"/>
        <v>0</v>
      </c>
      <c r="AA192" s="12" t="e">
        <f t="shared" si="51"/>
        <v>#DIV/0!</v>
      </c>
    </row>
    <row r="193" spans="1:27">
      <c r="A193">
        <v>2016</v>
      </c>
      <c r="B193" s="1" t="s">
        <v>169</v>
      </c>
      <c r="C193" s="17" t="str">
        <f t="shared" si="72"/>
        <v>Natixis</v>
      </c>
      <c r="E193" s="14">
        <f t="shared" si="65"/>
        <v>0</v>
      </c>
      <c r="F193" s="14">
        <f t="shared" si="66"/>
        <v>0</v>
      </c>
      <c r="G193" s="14">
        <f t="shared" si="67"/>
        <v>0</v>
      </c>
      <c r="H193" s="14">
        <f t="shared" si="68"/>
        <v>0</v>
      </c>
      <c r="I193" s="14">
        <f t="shared" si="71"/>
        <v>0</v>
      </c>
      <c r="K193" s="12" t="str">
        <f t="shared" si="73"/>
        <v/>
      </c>
      <c r="L193" s="1" t="str">
        <f t="shared" si="74"/>
        <v>2016_0016</v>
      </c>
      <c r="M193" s="14" t="str">
        <f t="shared" si="44"/>
        <v/>
      </c>
      <c r="O193" s="55">
        <f t="shared" si="70"/>
        <v>0</v>
      </c>
      <c r="P193" s="55"/>
      <c r="Q193" s="55">
        <f t="shared" si="75"/>
        <v>0</v>
      </c>
      <c r="R193" s="55">
        <f t="shared" si="76"/>
        <v>0</v>
      </c>
      <c r="S193" s="55">
        <f t="shared" si="47"/>
        <v>0</v>
      </c>
      <c r="T193" s="55">
        <f t="shared" si="48"/>
        <v>0</v>
      </c>
      <c r="U193" s="55">
        <f t="shared" si="77"/>
        <v>0</v>
      </c>
      <c r="V193" s="55">
        <f t="shared" si="49"/>
        <v>0</v>
      </c>
      <c r="W193" s="55">
        <f t="shared" si="78"/>
        <v>0</v>
      </c>
      <c r="X193" s="14">
        <f>SUMPRODUCT((Annee_debut=$A193)*(emprunts!$C$2:$C$149=$C193),fraction_annee_absente)</f>
        <v>0</v>
      </c>
      <c r="Z193" s="14">
        <f t="shared" si="64"/>
        <v>0</v>
      </c>
      <c r="AA193" s="12" t="e">
        <f t="shared" si="51"/>
        <v>#DIV/0!</v>
      </c>
    </row>
    <row r="194" spans="1:27">
      <c r="A194">
        <v>2016</v>
      </c>
      <c r="B194" s="1" t="s">
        <v>171</v>
      </c>
      <c r="C194" s="17" t="str">
        <f t="shared" si="72"/>
        <v>Deutsche Hypothekenbank</v>
      </c>
      <c r="E194" s="14">
        <f t="shared" ref="E194:E221" si="79">SUMPRODUCT((preteur=$C194)*(annee=$A194),encours)</f>
        <v>0</v>
      </c>
      <c r="F194" s="14">
        <f t="shared" ref="F194:F221" si="80">SUMPRODUCT((preteur=$C194)*(annee=$A194),annuite)</f>
        <v>0</v>
      </c>
      <c r="G194" s="14">
        <f t="shared" ref="G194:G221" si="81">SUMPRODUCT((preteur=$C194)*(annee=$A194),interet)</f>
        <v>0</v>
      </c>
      <c r="H194" s="14">
        <f t="shared" ref="H194:H221" si="82">SUMPRODUCT((preteur=$C194)*(annee=$A194),amortissement)</f>
        <v>0</v>
      </c>
      <c r="I194" s="14">
        <f t="shared" si="71"/>
        <v>0</v>
      </c>
      <c r="K194" s="12" t="str">
        <f t="shared" si="73"/>
        <v/>
      </c>
      <c r="L194" s="1" t="str">
        <f t="shared" si="74"/>
        <v>2016_0022</v>
      </c>
      <c r="M194" s="14" t="str">
        <f t="shared" ref="M194:M221" si="83">IF(E194&gt;0,INDEX(E:E,MATCH((A194+1)&amp;"_"&amp;B194,L:L,0))+INDEX(H:H,MATCH((A194+1)&amp;"_"&amp;B194,L:L,0))-E194,"")</f>
        <v/>
      </c>
      <c r="O194" s="55">
        <f t="shared" si="70"/>
        <v>0</v>
      </c>
      <c r="P194" s="55"/>
      <c r="Q194" s="55">
        <f t="shared" si="75"/>
        <v>0</v>
      </c>
      <c r="R194" s="55">
        <f t="shared" si="76"/>
        <v>0</v>
      </c>
      <c r="S194" s="55">
        <f t="shared" ref="S194:S221" si="84">SUMPRODUCT((annee=$A194)*(preteur=$C194),Frais)</f>
        <v>0</v>
      </c>
      <c r="T194" s="55">
        <f t="shared" ref="T194:T221" si="85">SUMPRODUCT((annee=$A194)*(preteur=$C194),ICNE)</f>
        <v>0</v>
      </c>
      <c r="U194" s="55">
        <f t="shared" si="77"/>
        <v>0</v>
      </c>
      <c r="V194" s="55">
        <f t="shared" ref="V194:V221" si="86">SUMPRODUCT((annee=$A194)*(preteur=$C194),encours)</f>
        <v>0</v>
      </c>
      <c r="W194" s="55">
        <f t="shared" si="78"/>
        <v>0</v>
      </c>
      <c r="X194" s="14">
        <f>SUMPRODUCT((Annee_debut=$A194)*(emprunts!$C$2:$C$149=$C194),fraction_annee_absente)</f>
        <v>0</v>
      </c>
      <c r="Z194" s="14">
        <f t="shared" si="64"/>
        <v>0</v>
      </c>
      <c r="AA194" s="12" t="e">
        <f t="shared" ref="AA194:AA221" si="87">G194/Z194</f>
        <v>#DIV/0!</v>
      </c>
    </row>
    <row r="195" spans="1:27">
      <c r="A195">
        <v>2016</v>
      </c>
      <c r="B195" s="1" t="s">
        <v>173</v>
      </c>
      <c r="C195" s="17" t="str">
        <f t="shared" si="72"/>
        <v>Crédit Agricole</v>
      </c>
      <c r="E195" s="14">
        <f t="shared" si="79"/>
        <v>6390794</v>
      </c>
      <c r="F195" s="14">
        <f t="shared" si="80"/>
        <v>1838667.44</v>
      </c>
      <c r="G195" s="14">
        <f t="shared" si="81"/>
        <v>282694.8</v>
      </c>
      <c r="H195" s="14">
        <f t="shared" si="82"/>
        <v>1640326.8499999999</v>
      </c>
      <c r="I195" s="14">
        <f t="shared" si="71"/>
        <v>-84354.209999999963</v>
      </c>
      <c r="K195" s="12">
        <f t="shared" si="73"/>
        <v>3.4351555330940343E-2</v>
      </c>
      <c r="L195" s="1" t="str">
        <f t="shared" si="74"/>
        <v>2016_0023</v>
      </c>
      <c r="M195" s="14">
        <f t="shared" si="83"/>
        <v>-89.570000000298023</v>
      </c>
      <c r="O195" s="55">
        <f t="shared" si="70"/>
        <v>6390794</v>
      </c>
      <c r="P195" s="55"/>
      <c r="Q195" s="55">
        <f t="shared" si="75"/>
        <v>198340.58999999997</v>
      </c>
      <c r="R195" s="55">
        <f t="shared" si="76"/>
        <v>1640326.8499999999</v>
      </c>
      <c r="S195" s="55">
        <f t="shared" si="84"/>
        <v>-84354.21</v>
      </c>
      <c r="T195" s="55">
        <f t="shared" si="85"/>
        <v>67933.279999999999</v>
      </c>
      <c r="U195" s="55">
        <f t="shared" si="77"/>
        <v>0</v>
      </c>
      <c r="V195" s="55">
        <f t="shared" si="86"/>
        <v>6390794</v>
      </c>
      <c r="W195" s="55">
        <f t="shared" si="78"/>
        <v>7210957.4249999998</v>
      </c>
      <c r="X195" s="14">
        <f>SUMPRODUCT((Annee_debut=$A195)*(emprunts!$C$2:$C$149=$C195),fraction_annee_absente)</f>
        <v>0</v>
      </c>
      <c r="Z195" s="14">
        <f t="shared" ref="Z195:Z221" si="88">W195+(U195+(H195-R195)/2)</f>
        <v>7210957.4249999998</v>
      </c>
      <c r="AA195" s="12">
        <f t="shared" si="87"/>
        <v>3.9203504242018183E-2</v>
      </c>
    </row>
    <row r="196" spans="1:27">
      <c r="A196">
        <v>2016</v>
      </c>
      <c r="B196" s="1" t="s">
        <v>172</v>
      </c>
      <c r="C196" s="17" t="str">
        <f t="shared" si="72"/>
        <v>Rheinboden Hypothekenbank</v>
      </c>
      <c r="E196" s="14">
        <f t="shared" si="79"/>
        <v>0</v>
      </c>
      <c r="F196" s="14">
        <f t="shared" si="80"/>
        <v>0</v>
      </c>
      <c r="G196" s="14">
        <f t="shared" si="81"/>
        <v>0</v>
      </c>
      <c r="H196" s="14">
        <f t="shared" si="82"/>
        <v>0</v>
      </c>
      <c r="I196" s="14">
        <f t="shared" si="71"/>
        <v>0</v>
      </c>
      <c r="K196" s="12" t="str">
        <f t="shared" si="73"/>
        <v/>
      </c>
      <c r="L196" s="1" t="str">
        <f t="shared" si="74"/>
        <v>2016_0025</v>
      </c>
      <c r="M196" s="14" t="str">
        <f t="shared" si="83"/>
        <v/>
      </c>
      <c r="O196" s="55">
        <f t="shared" si="70"/>
        <v>0</v>
      </c>
      <c r="P196" s="55"/>
      <c r="Q196" s="55">
        <f t="shared" si="75"/>
        <v>0</v>
      </c>
      <c r="R196" s="55">
        <f t="shared" si="76"/>
        <v>0</v>
      </c>
      <c r="S196" s="55">
        <f t="shared" si="84"/>
        <v>0</v>
      </c>
      <c r="T196" s="55">
        <f t="shared" si="85"/>
        <v>0</v>
      </c>
      <c r="U196" s="55">
        <f t="shared" si="77"/>
        <v>0</v>
      </c>
      <c r="V196" s="55">
        <f t="shared" si="86"/>
        <v>0</v>
      </c>
      <c r="W196" s="55">
        <f t="shared" si="78"/>
        <v>0</v>
      </c>
      <c r="X196" s="14">
        <f>SUMPRODUCT((Annee_debut=$A196)*(emprunts!$C$2:$C$149=$C196),fraction_annee_absente)</f>
        <v>0</v>
      </c>
      <c r="Z196" s="14">
        <f t="shared" si="88"/>
        <v>0</v>
      </c>
      <c r="AA196" s="12" t="e">
        <f t="shared" si="87"/>
        <v>#DIV/0!</v>
      </c>
    </row>
    <row r="197" spans="1:27">
      <c r="A197">
        <v>2016</v>
      </c>
      <c r="B197" s="1" t="s">
        <v>277</v>
      </c>
      <c r="C197" s="17" t="str">
        <f t="shared" si="72"/>
        <v>Arkea</v>
      </c>
      <c r="E197" s="14">
        <f t="shared" si="79"/>
        <v>9704350</v>
      </c>
      <c r="F197" s="14">
        <f t="shared" si="80"/>
        <v>8241444.9300000006</v>
      </c>
      <c r="G197" s="14">
        <f t="shared" si="81"/>
        <v>182539.34</v>
      </c>
      <c r="H197" s="14">
        <f t="shared" si="82"/>
        <v>8058905.5900000008</v>
      </c>
      <c r="I197" s="14">
        <f t="shared" si="71"/>
        <v>0</v>
      </c>
      <c r="K197" s="12">
        <f t="shared" si="73"/>
        <v>1.0171705444758473E-2</v>
      </c>
      <c r="L197" s="1" t="str">
        <f t="shared" si="74"/>
        <v>2016_Arkea</v>
      </c>
      <c r="M197" s="14">
        <f t="shared" si="83"/>
        <v>0.39000000059604645</v>
      </c>
      <c r="O197" s="55">
        <f t="shared" si="70"/>
        <v>9704350</v>
      </c>
      <c r="P197" s="55"/>
      <c r="Q197" s="55">
        <f t="shared" si="75"/>
        <v>182539.34</v>
      </c>
      <c r="R197" s="55">
        <f t="shared" si="76"/>
        <v>8058905.5900000008</v>
      </c>
      <c r="S197" s="55">
        <f t="shared" si="84"/>
        <v>0</v>
      </c>
      <c r="T197" s="55">
        <f t="shared" si="85"/>
        <v>38493.919999999998</v>
      </c>
      <c r="U197" s="55">
        <f t="shared" si="77"/>
        <v>0</v>
      </c>
      <c r="V197" s="55">
        <f t="shared" si="86"/>
        <v>9704350</v>
      </c>
      <c r="W197" s="55">
        <f t="shared" si="78"/>
        <v>12708096.911876712</v>
      </c>
      <c r="X197" s="14">
        <f>SUMPRODUCT((Annee_debut=$A197)*(emprunts!$C$2:$C$149=$C197),fraction_annee_absente)</f>
        <v>1041095.8904109589</v>
      </c>
      <c r="Z197" s="14">
        <f t="shared" si="88"/>
        <v>12708096.911876712</v>
      </c>
      <c r="AA197" s="12">
        <f t="shared" si="87"/>
        <v>1.43640185675168E-2</v>
      </c>
    </row>
    <row r="198" spans="1:27">
      <c r="A198">
        <v>2017</v>
      </c>
      <c r="B198" s="1" t="s">
        <v>162</v>
      </c>
      <c r="C198" s="17" t="str">
        <f t="shared" ref="C198:C209" si="89">VLOOKUP(B198,preteurs,2,FALSE)</f>
        <v>CDC</v>
      </c>
      <c r="E198" s="14">
        <f t="shared" si="79"/>
        <v>4854039</v>
      </c>
      <c r="F198" s="14">
        <f t="shared" si="80"/>
        <v>512648.41000000003</v>
      </c>
      <c r="G198" s="14">
        <f t="shared" si="81"/>
        <v>71685.53</v>
      </c>
      <c r="H198" s="14">
        <f t="shared" si="82"/>
        <v>440962.88</v>
      </c>
      <c r="I198" s="14">
        <f t="shared" si="71"/>
        <v>0</v>
      </c>
      <c r="K198" s="12">
        <f t="shared" si="73"/>
        <v>1.3357500544269634E-2</v>
      </c>
      <c r="L198" s="1" t="str">
        <f t="shared" si="74"/>
        <v>2017_0001</v>
      </c>
      <c r="M198" s="14">
        <f t="shared" si="83"/>
        <v>0.26999999955296516</v>
      </c>
      <c r="O198" s="55">
        <f t="shared" si="70"/>
        <v>4854039</v>
      </c>
      <c r="P198" s="55"/>
      <c r="Q198" s="55">
        <f t="shared" si="75"/>
        <v>71685.53</v>
      </c>
      <c r="R198" s="55">
        <f t="shared" si="76"/>
        <v>440962.88</v>
      </c>
      <c r="S198" s="55">
        <f t="shared" si="84"/>
        <v>0</v>
      </c>
      <c r="T198" s="55">
        <f t="shared" si="85"/>
        <v>19867.690000000002</v>
      </c>
      <c r="U198" s="55">
        <f t="shared" si="77"/>
        <v>0</v>
      </c>
      <c r="V198" s="55">
        <f t="shared" si="86"/>
        <v>4854039</v>
      </c>
      <c r="W198" s="55">
        <f t="shared" si="78"/>
        <v>5060617.6442739721</v>
      </c>
      <c r="X198" s="14">
        <f>SUMPRODUCT((Annee_debut=$A198)*(emprunts!$C$2:$C$149=$C198),fraction_annee_absente)</f>
        <v>0</v>
      </c>
      <c r="Z198" s="14">
        <f t="shared" si="88"/>
        <v>5060617.6442739721</v>
      </c>
      <c r="AA198" s="12">
        <f t="shared" si="87"/>
        <v>1.4165371707366849E-2</v>
      </c>
    </row>
    <row r="199" spans="1:27">
      <c r="A199">
        <v>2017</v>
      </c>
      <c r="B199" s="1" t="s">
        <v>163</v>
      </c>
      <c r="C199" s="17" t="str">
        <f t="shared" si="89"/>
        <v>Dexia CL</v>
      </c>
      <c r="E199" s="14">
        <f t="shared" si="79"/>
        <v>221741019</v>
      </c>
      <c r="F199" s="14">
        <f t="shared" si="80"/>
        <v>17073751.469999999</v>
      </c>
      <c r="G199" s="14">
        <f t="shared" si="81"/>
        <v>7762076.959999999</v>
      </c>
      <c r="H199" s="14">
        <f t="shared" si="82"/>
        <v>9311674.5099999998</v>
      </c>
      <c r="I199" s="14">
        <f t="shared" si="71"/>
        <v>0</v>
      </c>
      <c r="K199" s="12">
        <f t="shared" si="73"/>
        <v>3.2502499509238163E-2</v>
      </c>
      <c r="L199" s="1" t="str">
        <f t="shared" si="74"/>
        <v>2017_0002</v>
      </c>
      <c r="M199" s="14">
        <f t="shared" si="83"/>
        <v>3000000.7800000012</v>
      </c>
      <c r="O199" s="55">
        <f t="shared" si="70"/>
        <v>221741019</v>
      </c>
      <c r="P199" s="55"/>
      <c r="Q199" s="55">
        <f t="shared" si="75"/>
        <v>7762076.959999999</v>
      </c>
      <c r="R199" s="55">
        <f t="shared" si="76"/>
        <v>9311674.5099999998</v>
      </c>
      <c r="S199" s="55">
        <f t="shared" si="84"/>
        <v>0</v>
      </c>
      <c r="T199" s="55">
        <f t="shared" si="85"/>
        <v>3458531.2</v>
      </c>
      <c r="U199" s="55">
        <f t="shared" si="77"/>
        <v>0</v>
      </c>
      <c r="V199" s="55">
        <f t="shared" si="86"/>
        <v>221741019</v>
      </c>
      <c r="W199" s="55">
        <f t="shared" si="78"/>
        <v>206373099.55073974</v>
      </c>
      <c r="X199" s="14">
        <f>SUMPRODUCT((Annee_debut=$A199)*(emprunts!$C$2:$C$149=$C199),fraction_annee_absente)</f>
        <v>19322739.726027399</v>
      </c>
      <c r="Z199" s="14">
        <f t="shared" si="88"/>
        <v>206373099.55073974</v>
      </c>
      <c r="AA199" s="12">
        <f t="shared" si="87"/>
        <v>3.7611864031201328E-2</v>
      </c>
    </row>
    <row r="200" spans="1:27">
      <c r="A200">
        <v>2017</v>
      </c>
      <c r="B200" s="1" t="s">
        <v>164</v>
      </c>
      <c r="C200" s="17" t="str">
        <f t="shared" si="89"/>
        <v>Caisse d'Épargne</v>
      </c>
      <c r="E200" s="14">
        <f t="shared" si="79"/>
        <v>67968238</v>
      </c>
      <c r="F200" s="14">
        <f t="shared" si="80"/>
        <v>7293468.9100000001</v>
      </c>
      <c r="G200" s="14">
        <f t="shared" si="81"/>
        <v>2985456.28</v>
      </c>
      <c r="H200" s="14">
        <f t="shared" si="82"/>
        <v>4308012.6300000008</v>
      </c>
      <c r="I200" s="14">
        <f t="shared" si="71"/>
        <v>0</v>
      </c>
      <c r="K200" s="12">
        <f t="shared" si="73"/>
        <v>3.9667666368105231E-2</v>
      </c>
      <c r="L200" s="1" t="str">
        <f t="shared" si="74"/>
        <v>2017_0003</v>
      </c>
      <c r="M200" s="14">
        <f t="shared" si="83"/>
        <v>0.84000000357627869</v>
      </c>
      <c r="O200" s="55">
        <f t="shared" si="70"/>
        <v>67968238</v>
      </c>
      <c r="P200" s="55"/>
      <c r="Q200" s="55">
        <f t="shared" si="75"/>
        <v>2985456.28</v>
      </c>
      <c r="R200" s="55">
        <f t="shared" si="76"/>
        <v>4308012.6300000008</v>
      </c>
      <c r="S200" s="55">
        <f t="shared" si="84"/>
        <v>0</v>
      </c>
      <c r="T200" s="55">
        <f t="shared" si="85"/>
        <v>1105550.3699999999</v>
      </c>
      <c r="U200" s="55">
        <f t="shared" si="77"/>
        <v>0</v>
      </c>
      <c r="V200" s="55">
        <f t="shared" si="86"/>
        <v>67968238</v>
      </c>
      <c r="W200" s="55">
        <f t="shared" si="78"/>
        <v>69930128.577150688</v>
      </c>
      <c r="X200" s="14">
        <f>SUMPRODUCT((Annee_debut=$A200)*(emprunts!$C$2:$C$149=$C200),fraction_annee_absente)</f>
        <v>0</v>
      </c>
      <c r="Z200" s="14">
        <f t="shared" si="88"/>
        <v>69930128.577150688</v>
      </c>
      <c r="AA200" s="12">
        <f t="shared" si="87"/>
        <v>4.2691989000224466E-2</v>
      </c>
    </row>
    <row r="201" spans="1:27">
      <c r="A201">
        <v>2017</v>
      </c>
      <c r="B201" s="1" t="s">
        <v>165</v>
      </c>
      <c r="C201" s="17" t="str">
        <f t="shared" si="89"/>
        <v>Crédit Mutuel</v>
      </c>
      <c r="E201" s="14">
        <f t="shared" si="79"/>
        <v>0</v>
      </c>
      <c r="F201" s="14">
        <f t="shared" si="80"/>
        <v>0</v>
      </c>
      <c r="G201" s="14">
        <f t="shared" si="81"/>
        <v>0</v>
      </c>
      <c r="H201" s="14">
        <f t="shared" si="82"/>
        <v>0</v>
      </c>
      <c r="I201" s="14">
        <f t="shared" si="71"/>
        <v>0</v>
      </c>
      <c r="K201" s="12" t="str">
        <f t="shared" si="73"/>
        <v/>
      </c>
      <c r="L201" s="1" t="str">
        <f t="shared" si="74"/>
        <v>2017_0004</v>
      </c>
      <c r="M201" s="14" t="str">
        <f t="shared" si="83"/>
        <v/>
      </c>
      <c r="O201" s="55">
        <f t="shared" si="70"/>
        <v>0</v>
      </c>
      <c r="P201" s="55"/>
      <c r="Q201" s="55">
        <f t="shared" si="75"/>
        <v>0</v>
      </c>
      <c r="R201" s="55">
        <f t="shared" si="76"/>
        <v>0</v>
      </c>
      <c r="S201" s="55">
        <f t="shared" si="84"/>
        <v>0</v>
      </c>
      <c r="T201" s="55">
        <f t="shared" si="85"/>
        <v>0</v>
      </c>
      <c r="U201" s="55">
        <f t="shared" si="77"/>
        <v>0</v>
      </c>
      <c r="V201" s="55">
        <f t="shared" si="86"/>
        <v>0</v>
      </c>
      <c r="W201" s="55">
        <f t="shared" si="78"/>
        <v>0</v>
      </c>
      <c r="X201" s="14">
        <f>SUMPRODUCT((Annee_debut=$A201)*(emprunts!$C$2:$C$149=$C201),fraction_annee_absente)</f>
        <v>0</v>
      </c>
      <c r="Z201" s="14">
        <f t="shared" si="88"/>
        <v>0</v>
      </c>
      <c r="AA201" s="12" t="e">
        <f t="shared" si="87"/>
        <v>#DIV/0!</v>
      </c>
    </row>
    <row r="202" spans="1:27">
      <c r="A202">
        <v>2017</v>
      </c>
      <c r="B202" s="1" t="s">
        <v>166</v>
      </c>
      <c r="C202" s="17" t="str">
        <f t="shared" si="89"/>
        <v>Société générale</v>
      </c>
      <c r="E202" s="14">
        <f t="shared" si="79"/>
        <v>19599525</v>
      </c>
      <c r="F202" s="14">
        <f t="shared" si="80"/>
        <v>1732076.4</v>
      </c>
      <c r="G202" s="14">
        <f t="shared" si="81"/>
        <v>585618.86999999988</v>
      </c>
      <c r="H202" s="14">
        <f t="shared" si="82"/>
        <v>1146457.53</v>
      </c>
      <c r="I202" s="14">
        <f t="shared" si="71"/>
        <v>0</v>
      </c>
      <c r="K202" s="12">
        <f t="shared" si="73"/>
        <v>2.7453113295094662E-2</v>
      </c>
      <c r="L202" s="1" t="str">
        <f t="shared" si="74"/>
        <v>2017_0005</v>
      </c>
      <c r="M202" s="14">
        <f t="shared" si="83"/>
        <v>0.66000000014901161</v>
      </c>
      <c r="O202" s="55">
        <f t="shared" si="70"/>
        <v>19599525</v>
      </c>
      <c r="P202" s="55"/>
      <c r="Q202" s="55">
        <f t="shared" si="75"/>
        <v>585618.86999999988</v>
      </c>
      <c r="R202" s="55">
        <f t="shared" si="76"/>
        <v>1146457.53</v>
      </c>
      <c r="S202" s="55">
        <f t="shared" si="84"/>
        <v>0</v>
      </c>
      <c r="T202" s="55">
        <f t="shared" si="85"/>
        <v>50024.420000000006</v>
      </c>
      <c r="U202" s="55">
        <f t="shared" si="77"/>
        <v>0</v>
      </c>
      <c r="V202" s="55">
        <f t="shared" si="86"/>
        <v>19599525</v>
      </c>
      <c r="W202" s="55">
        <f t="shared" si="78"/>
        <v>20117485.946465753</v>
      </c>
      <c r="X202" s="14">
        <f>SUMPRODUCT((Annee_debut=$A202)*(emprunts!$C$2:$C$149=$C202),fraction_annee_absente)</f>
        <v>0</v>
      </c>
      <c r="Z202" s="14">
        <f t="shared" si="88"/>
        <v>20117485.946465753</v>
      </c>
      <c r="AA202" s="12">
        <f t="shared" si="87"/>
        <v>2.9109943039521875E-2</v>
      </c>
    </row>
    <row r="203" spans="1:27">
      <c r="A203">
        <v>2017</v>
      </c>
      <c r="B203" s="1" t="s">
        <v>167</v>
      </c>
      <c r="C203" s="17" t="str">
        <f t="shared" si="89"/>
        <v>Crédit Foncier</v>
      </c>
      <c r="E203" s="14">
        <f t="shared" si="79"/>
        <v>4333333</v>
      </c>
      <c r="F203" s="14">
        <f t="shared" si="80"/>
        <v>506933.33</v>
      </c>
      <c r="G203" s="14">
        <f t="shared" si="81"/>
        <v>173600</v>
      </c>
      <c r="H203" s="14">
        <f t="shared" si="82"/>
        <v>333333.33</v>
      </c>
      <c r="I203" s="14">
        <f t="shared" si="71"/>
        <v>0</v>
      </c>
      <c r="K203" s="12">
        <f t="shared" si="73"/>
        <v>3.5865795012978138E-2</v>
      </c>
      <c r="L203" s="1" t="str">
        <f t="shared" si="74"/>
        <v>2017_0014</v>
      </c>
      <c r="M203" s="14">
        <f t="shared" si="83"/>
        <v>0.33000000007450581</v>
      </c>
      <c r="O203" s="55">
        <f t="shared" si="70"/>
        <v>4333333</v>
      </c>
      <c r="P203" s="55"/>
      <c r="Q203" s="55">
        <f t="shared" si="75"/>
        <v>173600</v>
      </c>
      <c r="R203" s="55">
        <f t="shared" si="76"/>
        <v>333333.33</v>
      </c>
      <c r="S203" s="55">
        <f t="shared" si="84"/>
        <v>0</v>
      </c>
      <c r="T203" s="55">
        <f t="shared" si="85"/>
        <v>141945.56</v>
      </c>
      <c r="U203" s="55">
        <f t="shared" si="77"/>
        <v>0</v>
      </c>
      <c r="V203" s="55">
        <f t="shared" si="86"/>
        <v>4333333</v>
      </c>
      <c r="W203" s="55">
        <f t="shared" si="78"/>
        <v>4487670.8987945206</v>
      </c>
      <c r="X203" s="14">
        <f>SUMPRODUCT((Annee_debut=$A203)*(emprunts!$C$2:$C$149=$C203),fraction_annee_absente)</f>
        <v>0</v>
      </c>
      <c r="Z203" s="14">
        <f t="shared" si="88"/>
        <v>4487670.8987945206</v>
      </c>
      <c r="AA203" s="12">
        <f t="shared" si="87"/>
        <v>3.8683763563551972E-2</v>
      </c>
    </row>
    <row r="204" spans="1:27">
      <c r="A204">
        <v>2017</v>
      </c>
      <c r="B204" s="1" t="s">
        <v>168</v>
      </c>
      <c r="C204" s="17" t="str">
        <f t="shared" si="89"/>
        <v>Auxifip CEPME</v>
      </c>
      <c r="E204" s="14">
        <f t="shared" si="79"/>
        <v>0</v>
      </c>
      <c r="F204" s="14">
        <f t="shared" si="80"/>
        <v>0</v>
      </c>
      <c r="G204" s="14">
        <f t="shared" si="81"/>
        <v>0</v>
      </c>
      <c r="H204" s="14">
        <f t="shared" si="82"/>
        <v>0</v>
      </c>
      <c r="I204" s="14">
        <f t="shared" si="71"/>
        <v>0</v>
      </c>
      <c r="K204" s="12" t="str">
        <f t="shared" si="73"/>
        <v/>
      </c>
      <c r="L204" s="1" t="str">
        <f t="shared" si="74"/>
        <v>2017_0015</v>
      </c>
      <c r="M204" s="14" t="str">
        <f t="shared" si="83"/>
        <v/>
      </c>
      <c r="O204" s="55">
        <f t="shared" si="70"/>
        <v>0</v>
      </c>
      <c r="P204" s="55"/>
      <c r="Q204" s="55">
        <f t="shared" si="75"/>
        <v>0</v>
      </c>
      <c r="R204" s="55">
        <f t="shared" si="76"/>
        <v>0</v>
      </c>
      <c r="S204" s="55">
        <f t="shared" si="84"/>
        <v>0</v>
      </c>
      <c r="T204" s="55">
        <f t="shared" si="85"/>
        <v>0</v>
      </c>
      <c r="U204" s="55">
        <f t="shared" si="77"/>
        <v>0</v>
      </c>
      <c r="V204" s="55">
        <f t="shared" si="86"/>
        <v>0</v>
      </c>
      <c r="W204" s="55">
        <f t="shared" si="78"/>
        <v>0</v>
      </c>
      <c r="X204" s="14">
        <f>SUMPRODUCT((Annee_debut=$A204)*(emprunts!$C$2:$C$149=$C204),fraction_annee_absente)</f>
        <v>0</v>
      </c>
      <c r="Z204" s="14">
        <f t="shared" si="88"/>
        <v>0</v>
      </c>
      <c r="AA204" s="12" t="e">
        <f t="shared" si="87"/>
        <v>#DIV/0!</v>
      </c>
    </row>
    <row r="205" spans="1:27">
      <c r="A205">
        <v>2017</v>
      </c>
      <c r="B205" s="1" t="s">
        <v>169</v>
      </c>
      <c r="C205" s="17" t="str">
        <f t="shared" si="89"/>
        <v>Natixis</v>
      </c>
      <c r="E205" s="14">
        <f t="shared" si="79"/>
        <v>0</v>
      </c>
      <c r="F205" s="14">
        <f t="shared" si="80"/>
        <v>0</v>
      </c>
      <c r="G205" s="14">
        <f t="shared" si="81"/>
        <v>0</v>
      </c>
      <c r="H205" s="14">
        <f t="shared" si="82"/>
        <v>0</v>
      </c>
      <c r="I205" s="14">
        <f t="shared" si="71"/>
        <v>0</v>
      </c>
      <c r="K205" s="12" t="str">
        <f t="shared" si="73"/>
        <v/>
      </c>
      <c r="L205" s="1" t="str">
        <f t="shared" si="74"/>
        <v>2017_0016</v>
      </c>
      <c r="M205" s="14" t="str">
        <f t="shared" si="83"/>
        <v/>
      </c>
      <c r="O205" s="55">
        <f t="shared" si="70"/>
        <v>0</v>
      </c>
      <c r="P205" s="55"/>
      <c r="Q205" s="55">
        <f t="shared" si="75"/>
        <v>0</v>
      </c>
      <c r="R205" s="55">
        <f t="shared" si="76"/>
        <v>0</v>
      </c>
      <c r="S205" s="55">
        <f t="shared" si="84"/>
        <v>0</v>
      </c>
      <c r="T205" s="55">
        <f t="shared" si="85"/>
        <v>0</v>
      </c>
      <c r="U205" s="55">
        <f t="shared" si="77"/>
        <v>0</v>
      </c>
      <c r="V205" s="55">
        <f t="shared" si="86"/>
        <v>0</v>
      </c>
      <c r="W205" s="55">
        <f t="shared" si="78"/>
        <v>0</v>
      </c>
      <c r="X205" s="14">
        <f>SUMPRODUCT((Annee_debut=$A205)*(emprunts!$C$2:$C$149=$C205),fraction_annee_absente)</f>
        <v>0</v>
      </c>
      <c r="Z205" s="14">
        <f t="shared" si="88"/>
        <v>0</v>
      </c>
      <c r="AA205" s="12" t="e">
        <f t="shared" si="87"/>
        <v>#DIV/0!</v>
      </c>
    </row>
    <row r="206" spans="1:27">
      <c r="A206">
        <v>2017</v>
      </c>
      <c r="B206" s="1" t="s">
        <v>171</v>
      </c>
      <c r="C206" s="17" t="str">
        <f t="shared" si="89"/>
        <v>Deutsche Hypothekenbank</v>
      </c>
      <c r="E206" s="14">
        <f t="shared" si="79"/>
        <v>0</v>
      </c>
      <c r="F206" s="14">
        <f t="shared" si="80"/>
        <v>0</v>
      </c>
      <c r="G206" s="14">
        <f t="shared" si="81"/>
        <v>0</v>
      </c>
      <c r="H206" s="14">
        <f t="shared" si="82"/>
        <v>0</v>
      </c>
      <c r="I206" s="14">
        <f t="shared" ref="I206:I217" si="90">F206-SUM(G206:H206)</f>
        <v>0</v>
      </c>
      <c r="K206" s="12" t="str">
        <f t="shared" si="73"/>
        <v/>
      </c>
      <c r="L206" s="1" t="str">
        <f t="shared" si="74"/>
        <v>2017_0022</v>
      </c>
      <c r="M206" s="14" t="str">
        <f t="shared" si="83"/>
        <v/>
      </c>
      <c r="O206" s="55">
        <f t="shared" si="70"/>
        <v>0</v>
      </c>
      <c r="P206" s="55"/>
      <c r="Q206" s="55">
        <f t="shared" si="75"/>
        <v>0</v>
      </c>
      <c r="R206" s="55">
        <f t="shared" si="76"/>
        <v>0</v>
      </c>
      <c r="S206" s="55">
        <f t="shared" si="84"/>
        <v>0</v>
      </c>
      <c r="T206" s="55">
        <f t="shared" si="85"/>
        <v>0</v>
      </c>
      <c r="U206" s="55">
        <f t="shared" si="77"/>
        <v>0</v>
      </c>
      <c r="V206" s="55">
        <f t="shared" si="86"/>
        <v>0</v>
      </c>
      <c r="W206" s="55">
        <f t="shared" si="78"/>
        <v>0</v>
      </c>
      <c r="X206" s="14">
        <f>SUMPRODUCT((Annee_debut=$A206)*(emprunts!$C$2:$C$149=$C206),fraction_annee_absente)</f>
        <v>0</v>
      </c>
      <c r="Z206" s="14">
        <f t="shared" si="88"/>
        <v>0</v>
      </c>
      <c r="AA206" s="12" t="e">
        <f t="shared" si="87"/>
        <v>#DIV/0!</v>
      </c>
    </row>
    <row r="207" spans="1:27">
      <c r="A207">
        <v>2017</v>
      </c>
      <c r="B207" s="1" t="s">
        <v>173</v>
      </c>
      <c r="C207" s="17" t="str">
        <f t="shared" si="89"/>
        <v>Crédit Agricole</v>
      </c>
      <c r="E207" s="14">
        <f t="shared" si="79"/>
        <v>4690584</v>
      </c>
      <c r="F207" s="14">
        <f t="shared" si="80"/>
        <v>2020684.85</v>
      </c>
      <c r="G207" s="14">
        <f t="shared" si="81"/>
        <v>249439.90000000002</v>
      </c>
      <c r="H207" s="14">
        <f t="shared" si="82"/>
        <v>1700120.4300000002</v>
      </c>
      <c r="I207" s="14">
        <f t="shared" si="90"/>
        <v>71124.520000000019</v>
      </c>
      <c r="K207" s="12">
        <f t="shared" si="73"/>
        <v>3.7167323433928597E-2</v>
      </c>
      <c r="L207" s="1" t="str">
        <f t="shared" si="74"/>
        <v>2017_0023</v>
      </c>
      <c r="M207" s="14">
        <f t="shared" si="83"/>
        <v>-0.58999999985098839</v>
      </c>
      <c r="O207" s="55">
        <f t="shared" si="70"/>
        <v>4690584</v>
      </c>
      <c r="P207" s="55"/>
      <c r="Q207" s="55">
        <f t="shared" si="75"/>
        <v>320564.42000000004</v>
      </c>
      <c r="R207" s="55">
        <f t="shared" si="76"/>
        <v>1700120.4300000002</v>
      </c>
      <c r="S207" s="55">
        <f t="shared" si="84"/>
        <v>71124.52</v>
      </c>
      <c r="T207" s="55">
        <f t="shared" si="85"/>
        <v>56412.65</v>
      </c>
      <c r="U207" s="55">
        <f t="shared" si="77"/>
        <v>0</v>
      </c>
      <c r="V207" s="55">
        <f t="shared" si="86"/>
        <v>4690584</v>
      </c>
      <c r="W207" s="55">
        <f t="shared" si="78"/>
        <v>5138660.6666849311</v>
      </c>
      <c r="X207" s="14">
        <f>SUMPRODUCT((Annee_debut=$A207)*(emprunts!$C$2:$C$149=$C207),fraction_annee_absente)</f>
        <v>0</v>
      </c>
      <c r="Z207" s="14">
        <f t="shared" si="88"/>
        <v>5138660.6666849311</v>
      </c>
      <c r="AA207" s="12">
        <f t="shared" si="87"/>
        <v>4.854181199727272E-2</v>
      </c>
    </row>
    <row r="208" spans="1:27">
      <c r="A208">
        <v>2017</v>
      </c>
      <c r="B208" s="1" t="s">
        <v>172</v>
      </c>
      <c r="C208" s="17" t="str">
        <f t="shared" si="89"/>
        <v>Rheinboden Hypothekenbank</v>
      </c>
      <c r="E208" s="14">
        <f t="shared" si="79"/>
        <v>0</v>
      </c>
      <c r="F208" s="14">
        <f t="shared" si="80"/>
        <v>0</v>
      </c>
      <c r="G208" s="14">
        <f t="shared" si="81"/>
        <v>0</v>
      </c>
      <c r="H208" s="14">
        <f t="shared" si="82"/>
        <v>0</v>
      </c>
      <c r="I208" s="14">
        <f t="shared" si="90"/>
        <v>0</v>
      </c>
      <c r="K208" s="12" t="str">
        <f t="shared" si="73"/>
        <v/>
      </c>
      <c r="L208" s="1" t="str">
        <f t="shared" si="74"/>
        <v>2017_0025</v>
      </c>
      <c r="M208" s="14" t="str">
        <f t="shared" si="83"/>
        <v/>
      </c>
      <c r="O208" s="55">
        <f t="shared" si="70"/>
        <v>0</v>
      </c>
      <c r="P208" s="55"/>
      <c r="Q208" s="55">
        <f t="shared" si="75"/>
        <v>0</v>
      </c>
      <c r="R208" s="55">
        <f t="shared" si="76"/>
        <v>0</v>
      </c>
      <c r="S208" s="55">
        <f t="shared" si="84"/>
        <v>0</v>
      </c>
      <c r="T208" s="55">
        <f t="shared" si="85"/>
        <v>0</v>
      </c>
      <c r="U208" s="55">
        <f t="shared" si="77"/>
        <v>0</v>
      </c>
      <c r="V208" s="55">
        <f t="shared" si="86"/>
        <v>0</v>
      </c>
      <c r="W208" s="55">
        <f t="shared" si="78"/>
        <v>0</v>
      </c>
      <c r="X208" s="14">
        <f>SUMPRODUCT((Annee_debut=$A208)*(emprunts!$C$2:$C$149=$C208),fraction_annee_absente)</f>
        <v>0</v>
      </c>
      <c r="Z208" s="14">
        <f t="shared" si="88"/>
        <v>0</v>
      </c>
      <c r="AA208" s="12" t="e">
        <f t="shared" si="87"/>
        <v>#DIV/0!</v>
      </c>
    </row>
    <row r="209" spans="1:27">
      <c r="A209">
        <v>2017</v>
      </c>
      <c r="B209" s="1" t="s">
        <v>277</v>
      </c>
      <c r="C209" s="17" t="str">
        <f t="shared" si="89"/>
        <v>Arkea</v>
      </c>
      <c r="E209" s="14">
        <f t="shared" si="79"/>
        <v>9301876</v>
      </c>
      <c r="F209" s="14">
        <f t="shared" si="80"/>
        <v>629863.6</v>
      </c>
      <c r="G209" s="14">
        <f t="shared" si="81"/>
        <v>227389.21</v>
      </c>
      <c r="H209" s="14">
        <f t="shared" si="82"/>
        <v>402474.39</v>
      </c>
      <c r="I209" s="14">
        <f t="shared" si="90"/>
        <v>0</v>
      </c>
      <c r="K209" s="12">
        <f t="shared" si="73"/>
        <v>2.2895204582286874E-2</v>
      </c>
      <c r="L209" s="1" t="str">
        <f t="shared" si="74"/>
        <v>2017_Arkea</v>
      </c>
      <c r="M209" s="14">
        <f t="shared" si="83"/>
        <v>0.10999999940395355</v>
      </c>
      <c r="O209" s="55">
        <f t="shared" si="70"/>
        <v>9301876</v>
      </c>
      <c r="P209" s="55"/>
      <c r="Q209" s="55">
        <f t="shared" si="75"/>
        <v>227389.21</v>
      </c>
      <c r="R209" s="55">
        <f t="shared" si="76"/>
        <v>402474.39</v>
      </c>
      <c r="S209" s="55">
        <f t="shared" si="84"/>
        <v>0</v>
      </c>
      <c r="T209" s="55">
        <f t="shared" si="85"/>
        <v>36897.440000000002</v>
      </c>
      <c r="U209" s="55">
        <f t="shared" si="77"/>
        <v>0</v>
      </c>
      <c r="V209" s="55">
        <f t="shared" si="86"/>
        <v>9301876</v>
      </c>
      <c r="W209" s="55">
        <f t="shared" si="78"/>
        <v>9477077.268438356</v>
      </c>
      <c r="X209" s="14">
        <f>SUMPRODUCT((Annee_debut=$A209)*(emprunts!$C$2:$C$149=$C209),fraction_annee_absente)</f>
        <v>0</v>
      </c>
      <c r="Z209" s="14">
        <f t="shared" si="88"/>
        <v>9477077.268438356</v>
      </c>
      <c r="AA209" s="12">
        <f t="shared" si="87"/>
        <v>2.3993600934042975E-2</v>
      </c>
    </row>
    <row r="210" spans="1:27">
      <c r="A210">
        <v>2018</v>
      </c>
      <c r="B210" s="1" t="s">
        <v>162</v>
      </c>
      <c r="C210" s="17" t="str">
        <f t="shared" ref="C210:C221" si="91">VLOOKUP(B210,preteurs,2,FALSE)</f>
        <v>CDC</v>
      </c>
      <c r="E210" s="14">
        <f t="shared" si="79"/>
        <v>4412165</v>
      </c>
      <c r="F210" s="14">
        <f t="shared" si="80"/>
        <v>507883.47000000003</v>
      </c>
      <c r="G210" s="14">
        <f t="shared" si="81"/>
        <v>66009.2</v>
      </c>
      <c r="H210" s="14">
        <f t="shared" si="82"/>
        <v>441874.27</v>
      </c>
      <c r="I210" s="14">
        <f t="shared" si="90"/>
        <v>0</v>
      </c>
      <c r="K210" s="12">
        <f t="shared" ref="K210:K221" si="92">IF(E210+F210=0,"",G210/(E210+F210))</f>
        <v>1.3416371891962276E-2</v>
      </c>
      <c r="L210" s="1" t="str">
        <f t="shared" ref="L210:L221" si="93">A210&amp;"_"&amp;B210</f>
        <v>2018_0001</v>
      </c>
      <c r="M210" s="14" t="e">
        <f t="shared" si="83"/>
        <v>#N/A</v>
      </c>
      <c r="O210" s="55">
        <f t="shared" si="70"/>
        <v>4412165</v>
      </c>
      <c r="P210" s="55"/>
      <c r="Q210" s="55">
        <f t="shared" si="75"/>
        <v>66009.2</v>
      </c>
      <c r="R210" s="55">
        <f t="shared" si="76"/>
        <v>441874.27</v>
      </c>
      <c r="S210" s="55">
        <f t="shared" si="84"/>
        <v>0</v>
      </c>
      <c r="T210" s="55">
        <f t="shared" si="85"/>
        <v>17850.54</v>
      </c>
      <c r="U210" s="55">
        <f t="shared" si="77"/>
        <v>0</v>
      </c>
      <c r="V210" s="55">
        <f t="shared" si="86"/>
        <v>4412165</v>
      </c>
      <c r="W210" s="55">
        <f t="shared" si="78"/>
        <v>4620408.704493151</v>
      </c>
      <c r="X210" s="14">
        <f>SUMPRODUCT((Annee_debut=$A210)*(emprunts!$C$2:$C$149=$C210),fraction_annee_absente)</f>
        <v>0</v>
      </c>
      <c r="Z210" s="14">
        <f t="shared" si="88"/>
        <v>4620408.704493151</v>
      </c>
      <c r="AA210" s="12">
        <f t="shared" si="87"/>
        <v>1.428644178940466E-2</v>
      </c>
    </row>
    <row r="211" spans="1:27">
      <c r="A211">
        <v>2018</v>
      </c>
      <c r="B211" s="1" t="s">
        <v>163</v>
      </c>
      <c r="C211" s="17" t="str">
        <f t="shared" si="91"/>
        <v>Dexia CL</v>
      </c>
      <c r="E211" s="14">
        <f t="shared" si="79"/>
        <v>214636548</v>
      </c>
      <c r="F211" s="14">
        <f t="shared" si="80"/>
        <v>18342617.780000001</v>
      </c>
      <c r="G211" s="14">
        <f t="shared" si="81"/>
        <v>8238146</v>
      </c>
      <c r="H211" s="14">
        <f t="shared" si="82"/>
        <v>10104471.780000001</v>
      </c>
      <c r="I211" s="14">
        <f t="shared" si="90"/>
        <v>0</v>
      </c>
      <c r="K211" s="12">
        <f t="shared" si="92"/>
        <v>3.5360011580517041E-2</v>
      </c>
      <c r="L211" s="1" t="str">
        <f t="shared" si="93"/>
        <v>2018_0002</v>
      </c>
      <c r="M211" s="14" t="e">
        <f t="shared" si="83"/>
        <v>#N/A</v>
      </c>
      <c r="O211" s="55">
        <f t="shared" si="70"/>
        <v>214636548</v>
      </c>
      <c r="P211" s="55"/>
      <c r="Q211" s="55">
        <f t="shared" si="75"/>
        <v>8238146</v>
      </c>
      <c r="R211" s="55">
        <f t="shared" si="76"/>
        <v>10104471.780000001</v>
      </c>
      <c r="S211" s="55">
        <f t="shared" si="84"/>
        <v>0</v>
      </c>
      <c r="T211" s="55">
        <f t="shared" si="85"/>
        <v>3321288.0000000009</v>
      </c>
      <c r="U211" s="55">
        <f t="shared" si="77"/>
        <v>0</v>
      </c>
      <c r="V211" s="55">
        <f t="shared" si="86"/>
        <v>214636548</v>
      </c>
      <c r="W211" s="55">
        <f t="shared" si="78"/>
        <v>218803390.93813694</v>
      </c>
      <c r="X211" s="14">
        <f>SUMPRODUCT((Annee_debut=$A211)*(emprunts!$C$2:$C$149=$C211),fraction_annee_absente)</f>
        <v>0</v>
      </c>
      <c r="Z211" s="14">
        <f t="shared" si="88"/>
        <v>218803390.93813694</v>
      </c>
      <c r="AA211" s="12">
        <f t="shared" si="87"/>
        <v>3.7650906435582623E-2</v>
      </c>
    </row>
    <row r="212" spans="1:27">
      <c r="A212">
        <v>2018</v>
      </c>
      <c r="B212" s="1" t="s">
        <v>164</v>
      </c>
      <c r="C212" s="17" t="str">
        <f t="shared" si="91"/>
        <v>Caisse d'Épargne</v>
      </c>
      <c r="E212" s="14">
        <f t="shared" si="79"/>
        <v>63547445</v>
      </c>
      <c r="F212" s="14">
        <f t="shared" si="80"/>
        <v>7431685.0499999989</v>
      </c>
      <c r="G212" s="14">
        <f t="shared" si="81"/>
        <v>3010891.21</v>
      </c>
      <c r="H212" s="14">
        <f t="shared" si="82"/>
        <v>4420793.84</v>
      </c>
      <c r="I212" s="14">
        <f t="shared" si="90"/>
        <v>0</v>
      </c>
      <c r="K212" s="12">
        <f t="shared" si="92"/>
        <v>4.2419387330882061E-2</v>
      </c>
      <c r="L212" s="1" t="str">
        <f t="shared" si="93"/>
        <v>2018_0003</v>
      </c>
      <c r="M212" s="14" t="e">
        <f t="shared" si="83"/>
        <v>#N/A</v>
      </c>
      <c r="O212" s="55">
        <f t="shared" si="70"/>
        <v>63547445</v>
      </c>
      <c r="P212" s="55"/>
      <c r="Q212" s="55">
        <f t="shared" si="75"/>
        <v>3010891.21</v>
      </c>
      <c r="R212" s="55">
        <f t="shared" si="76"/>
        <v>4420793.84</v>
      </c>
      <c r="S212" s="55">
        <f t="shared" si="84"/>
        <v>0</v>
      </c>
      <c r="T212" s="55">
        <f t="shared" si="85"/>
        <v>595170.30999999994</v>
      </c>
      <c r="U212" s="55">
        <f t="shared" si="77"/>
        <v>0</v>
      </c>
      <c r="V212" s="55">
        <f t="shared" si="86"/>
        <v>63547445</v>
      </c>
      <c r="W212" s="55">
        <f t="shared" si="78"/>
        <v>65298399.239684932</v>
      </c>
      <c r="X212" s="14">
        <f>SUMPRODUCT((Annee_debut=$A212)*(emprunts!$C$2:$C$149=$C212),fraction_annee_absente)</f>
        <v>0</v>
      </c>
      <c r="Z212" s="14">
        <f t="shared" si="88"/>
        <v>65298399.239684932</v>
      </c>
      <c r="AA212" s="12">
        <f t="shared" si="87"/>
        <v>4.6109724664891001E-2</v>
      </c>
    </row>
    <row r="213" spans="1:27">
      <c r="A213">
        <v>2018</v>
      </c>
      <c r="B213" s="1" t="s">
        <v>165</v>
      </c>
      <c r="C213" s="17" t="str">
        <f t="shared" si="91"/>
        <v>Crédit Mutuel</v>
      </c>
      <c r="E213" s="14">
        <f t="shared" si="79"/>
        <v>0</v>
      </c>
      <c r="F213" s="14">
        <f t="shared" si="80"/>
        <v>0</v>
      </c>
      <c r="G213" s="14">
        <f t="shared" si="81"/>
        <v>0</v>
      </c>
      <c r="H213" s="14">
        <f t="shared" si="82"/>
        <v>0</v>
      </c>
      <c r="I213" s="14">
        <f t="shared" si="90"/>
        <v>0</v>
      </c>
      <c r="K213" s="12" t="str">
        <f t="shared" si="92"/>
        <v/>
      </c>
      <c r="L213" s="1" t="str">
        <f t="shared" si="93"/>
        <v>2018_0004</v>
      </c>
      <c r="M213" s="14" t="str">
        <f t="shared" si="83"/>
        <v/>
      </c>
      <c r="O213" s="55">
        <f t="shared" si="70"/>
        <v>0</v>
      </c>
      <c r="P213" s="55"/>
      <c r="Q213" s="55">
        <f t="shared" si="75"/>
        <v>0</v>
      </c>
      <c r="R213" s="55">
        <f t="shared" si="76"/>
        <v>0</v>
      </c>
      <c r="S213" s="55">
        <f t="shared" si="84"/>
        <v>0</v>
      </c>
      <c r="T213" s="55">
        <f t="shared" si="85"/>
        <v>0</v>
      </c>
      <c r="U213" s="55">
        <f t="shared" si="77"/>
        <v>0</v>
      </c>
      <c r="V213" s="55">
        <f t="shared" si="86"/>
        <v>0</v>
      </c>
      <c r="W213" s="55">
        <f t="shared" si="78"/>
        <v>0</v>
      </c>
      <c r="X213" s="14">
        <f>SUMPRODUCT((Annee_debut=$A213)*(emprunts!$C$2:$C$149=$C213),fraction_annee_absente)</f>
        <v>0</v>
      </c>
      <c r="Z213" s="14">
        <f t="shared" si="88"/>
        <v>0</v>
      </c>
      <c r="AA213" s="12" t="e">
        <f t="shared" si="87"/>
        <v>#DIV/0!</v>
      </c>
    </row>
    <row r="214" spans="1:27">
      <c r="A214">
        <v>2018</v>
      </c>
      <c r="B214" s="1" t="s">
        <v>166</v>
      </c>
      <c r="C214" s="17" t="str">
        <f t="shared" si="91"/>
        <v>Société générale</v>
      </c>
      <c r="E214" s="14">
        <f t="shared" si="79"/>
        <v>18407472</v>
      </c>
      <c r="F214" s="14">
        <f t="shared" si="80"/>
        <v>1751440.5999999999</v>
      </c>
      <c r="G214" s="14">
        <f t="shared" si="81"/>
        <v>559386.94000000006</v>
      </c>
      <c r="H214" s="14">
        <f t="shared" si="82"/>
        <v>1192053.6599999999</v>
      </c>
      <c r="I214" s="14">
        <f t="shared" si="90"/>
        <v>0</v>
      </c>
      <c r="K214" s="12">
        <f t="shared" si="92"/>
        <v>2.7748864787478667E-2</v>
      </c>
      <c r="L214" s="1" t="str">
        <f t="shared" si="93"/>
        <v>2018_0005</v>
      </c>
      <c r="M214" s="14" t="e">
        <f t="shared" si="83"/>
        <v>#N/A</v>
      </c>
      <c r="O214" s="55">
        <f t="shared" si="70"/>
        <v>18407472</v>
      </c>
      <c r="P214" s="55"/>
      <c r="Q214" s="55">
        <f t="shared" si="75"/>
        <v>559386.94000000006</v>
      </c>
      <c r="R214" s="55">
        <f t="shared" si="76"/>
        <v>1192053.6599999999</v>
      </c>
      <c r="S214" s="55">
        <f t="shared" si="84"/>
        <v>0</v>
      </c>
      <c r="T214" s="55">
        <f t="shared" si="85"/>
        <v>47851.46</v>
      </c>
      <c r="U214" s="55">
        <f t="shared" si="77"/>
        <v>0</v>
      </c>
      <c r="V214" s="55">
        <f t="shared" si="86"/>
        <v>18407472</v>
      </c>
      <c r="W214" s="55">
        <f t="shared" si="78"/>
        <v>18951434.449643835</v>
      </c>
      <c r="X214" s="14">
        <f>SUMPRODUCT((Annee_debut=$A214)*(emprunts!$C$2:$C$149=$C214),fraction_annee_absente)</f>
        <v>0</v>
      </c>
      <c r="Z214" s="14">
        <f t="shared" si="88"/>
        <v>18951434.449643835</v>
      </c>
      <c r="AA214" s="12">
        <f t="shared" si="87"/>
        <v>2.9516865411236083E-2</v>
      </c>
    </row>
    <row r="215" spans="1:27">
      <c r="A215">
        <v>2018</v>
      </c>
      <c r="B215" s="1" t="s">
        <v>167</v>
      </c>
      <c r="C215" s="17" t="str">
        <f t="shared" si="91"/>
        <v>Crédit Foncier</v>
      </c>
      <c r="E215" s="14">
        <f t="shared" si="79"/>
        <v>4000000</v>
      </c>
      <c r="F215" s="14">
        <f t="shared" si="80"/>
        <v>494533.33</v>
      </c>
      <c r="G215" s="14">
        <f t="shared" si="81"/>
        <v>161200</v>
      </c>
      <c r="H215" s="14">
        <f t="shared" si="82"/>
        <v>333333.33</v>
      </c>
      <c r="I215" s="14">
        <f t="shared" si="90"/>
        <v>0</v>
      </c>
      <c r="K215" s="12">
        <f t="shared" si="92"/>
        <v>3.5865792544918118E-2</v>
      </c>
      <c r="L215" s="1" t="str">
        <f t="shared" si="93"/>
        <v>2018_0014</v>
      </c>
      <c r="M215" s="14" t="e">
        <f t="shared" si="83"/>
        <v>#N/A</v>
      </c>
      <c r="O215" s="55">
        <f t="shared" si="70"/>
        <v>4000000</v>
      </c>
      <c r="P215" s="55"/>
      <c r="Q215" s="55">
        <f t="shared" si="75"/>
        <v>161200</v>
      </c>
      <c r="R215" s="55">
        <f t="shared" si="76"/>
        <v>333333.33</v>
      </c>
      <c r="S215" s="55">
        <f t="shared" si="84"/>
        <v>0</v>
      </c>
      <c r="T215" s="55">
        <f t="shared" si="85"/>
        <v>131026.67</v>
      </c>
      <c r="U215" s="55">
        <f t="shared" si="77"/>
        <v>0</v>
      </c>
      <c r="V215" s="55">
        <f t="shared" si="86"/>
        <v>4000000</v>
      </c>
      <c r="W215" s="55">
        <f t="shared" si="78"/>
        <v>4155251.1398904109</v>
      </c>
      <c r="X215" s="14">
        <f>SUMPRODUCT((Annee_debut=$A215)*(emprunts!$C$2:$C$149=$C215),fraction_annee_absente)</f>
        <v>0</v>
      </c>
      <c r="Z215" s="14">
        <f t="shared" si="88"/>
        <v>4155251.1398904109</v>
      </c>
      <c r="AA215" s="12">
        <f t="shared" si="87"/>
        <v>3.8794285729803431E-2</v>
      </c>
    </row>
    <row r="216" spans="1:27">
      <c r="A216">
        <v>2018</v>
      </c>
      <c r="B216" s="1" t="s">
        <v>168</v>
      </c>
      <c r="C216" s="17" t="str">
        <f t="shared" si="91"/>
        <v>Auxifip CEPME</v>
      </c>
      <c r="E216" s="14">
        <f t="shared" si="79"/>
        <v>0</v>
      </c>
      <c r="F216" s="14">
        <f t="shared" si="80"/>
        <v>0</v>
      </c>
      <c r="G216" s="14">
        <f t="shared" si="81"/>
        <v>0</v>
      </c>
      <c r="H216" s="14">
        <f t="shared" si="82"/>
        <v>0</v>
      </c>
      <c r="I216" s="14">
        <f t="shared" si="90"/>
        <v>0</v>
      </c>
      <c r="K216" s="12" t="str">
        <f t="shared" si="92"/>
        <v/>
      </c>
      <c r="L216" s="1" t="str">
        <f t="shared" si="93"/>
        <v>2018_0015</v>
      </c>
      <c r="M216" s="14" t="str">
        <f t="shared" si="83"/>
        <v/>
      </c>
      <c r="O216" s="55">
        <f t="shared" si="70"/>
        <v>0</v>
      </c>
      <c r="P216" s="55"/>
      <c r="Q216" s="55">
        <f t="shared" si="75"/>
        <v>0</v>
      </c>
      <c r="R216" s="55">
        <f t="shared" si="76"/>
        <v>0</v>
      </c>
      <c r="S216" s="55">
        <f t="shared" si="84"/>
        <v>0</v>
      </c>
      <c r="T216" s="55">
        <f t="shared" si="85"/>
        <v>0</v>
      </c>
      <c r="U216" s="55">
        <f t="shared" si="77"/>
        <v>0</v>
      </c>
      <c r="V216" s="55">
        <f t="shared" si="86"/>
        <v>0</v>
      </c>
      <c r="W216" s="55">
        <f t="shared" si="78"/>
        <v>0</v>
      </c>
      <c r="X216" s="14">
        <f>SUMPRODUCT((Annee_debut=$A216)*(emprunts!$C$2:$C$149=$C216),fraction_annee_absente)</f>
        <v>0</v>
      </c>
      <c r="Z216" s="14">
        <f t="shared" si="88"/>
        <v>0</v>
      </c>
      <c r="AA216" s="12" t="e">
        <f t="shared" si="87"/>
        <v>#DIV/0!</v>
      </c>
    </row>
    <row r="217" spans="1:27">
      <c r="A217">
        <v>2018</v>
      </c>
      <c r="B217" s="1" t="s">
        <v>169</v>
      </c>
      <c r="C217" s="17" t="str">
        <f t="shared" si="91"/>
        <v>Natixis</v>
      </c>
      <c r="E217" s="14">
        <f t="shared" si="79"/>
        <v>0</v>
      </c>
      <c r="F217" s="14">
        <f t="shared" si="80"/>
        <v>0</v>
      </c>
      <c r="G217" s="14">
        <f t="shared" si="81"/>
        <v>0</v>
      </c>
      <c r="H217" s="14">
        <f t="shared" si="82"/>
        <v>0</v>
      </c>
      <c r="I217" s="14">
        <f t="shared" si="90"/>
        <v>0</v>
      </c>
      <c r="K217" s="12" t="str">
        <f t="shared" si="92"/>
        <v/>
      </c>
      <c r="L217" s="1" t="str">
        <f t="shared" si="93"/>
        <v>2018_0016</v>
      </c>
      <c r="M217" s="14" t="str">
        <f t="shared" si="83"/>
        <v/>
      </c>
      <c r="O217" s="55">
        <f t="shared" si="70"/>
        <v>0</v>
      </c>
      <c r="P217" s="55"/>
      <c r="Q217" s="55">
        <f t="shared" si="75"/>
        <v>0</v>
      </c>
      <c r="R217" s="55">
        <f t="shared" si="76"/>
        <v>0</v>
      </c>
      <c r="S217" s="55">
        <f t="shared" si="84"/>
        <v>0</v>
      </c>
      <c r="T217" s="55">
        <f t="shared" si="85"/>
        <v>0</v>
      </c>
      <c r="U217" s="55">
        <f t="shared" si="77"/>
        <v>0</v>
      </c>
      <c r="V217" s="55">
        <f t="shared" si="86"/>
        <v>0</v>
      </c>
      <c r="W217" s="55">
        <f t="shared" si="78"/>
        <v>0</v>
      </c>
      <c r="X217" s="14">
        <f>SUMPRODUCT((Annee_debut=$A217)*(emprunts!$C$2:$C$149=$C217),fraction_annee_absente)</f>
        <v>0</v>
      </c>
      <c r="Z217" s="14">
        <f t="shared" si="88"/>
        <v>0</v>
      </c>
      <c r="AA217" s="12" t="e">
        <f t="shared" si="87"/>
        <v>#DIV/0!</v>
      </c>
    </row>
    <row r="218" spans="1:27">
      <c r="A218">
        <v>2018</v>
      </c>
      <c r="B218" s="1" t="s">
        <v>171</v>
      </c>
      <c r="C218" s="17" t="str">
        <f t="shared" si="91"/>
        <v>Deutsche Hypothekenbank</v>
      </c>
      <c r="E218" s="14">
        <f t="shared" si="79"/>
        <v>0</v>
      </c>
      <c r="F218" s="14">
        <f t="shared" si="80"/>
        <v>0</v>
      </c>
      <c r="G218" s="14">
        <f t="shared" si="81"/>
        <v>0</v>
      </c>
      <c r="H218" s="14">
        <f t="shared" si="82"/>
        <v>0</v>
      </c>
      <c r="I218" s="14">
        <f t="shared" ref="I218:I221" si="94">F218-SUM(G218:H218)</f>
        <v>0</v>
      </c>
      <c r="K218" s="12" t="str">
        <f t="shared" si="92"/>
        <v/>
      </c>
      <c r="L218" s="1" t="str">
        <f t="shared" si="93"/>
        <v>2018_0022</v>
      </c>
      <c r="M218" s="14" t="str">
        <f t="shared" si="83"/>
        <v/>
      </c>
      <c r="O218" s="55">
        <f t="shared" si="70"/>
        <v>0</v>
      </c>
      <c r="P218" s="55"/>
      <c r="Q218" s="55">
        <f t="shared" si="75"/>
        <v>0</v>
      </c>
      <c r="R218" s="55">
        <f t="shared" si="76"/>
        <v>0</v>
      </c>
      <c r="S218" s="55">
        <f t="shared" si="84"/>
        <v>0</v>
      </c>
      <c r="T218" s="55">
        <f t="shared" si="85"/>
        <v>0</v>
      </c>
      <c r="U218" s="55">
        <f t="shared" si="77"/>
        <v>0</v>
      </c>
      <c r="V218" s="55">
        <f t="shared" si="86"/>
        <v>0</v>
      </c>
      <c r="W218" s="55">
        <f t="shared" si="78"/>
        <v>0</v>
      </c>
      <c r="X218" s="14">
        <f>SUMPRODUCT((Annee_debut=$A218)*(emprunts!$C$2:$C$149=$C218),fraction_annee_absente)</f>
        <v>0</v>
      </c>
      <c r="Z218" s="14">
        <f t="shared" si="88"/>
        <v>0</v>
      </c>
      <c r="AA218" s="12" t="e">
        <f t="shared" si="87"/>
        <v>#DIV/0!</v>
      </c>
    </row>
    <row r="219" spans="1:27">
      <c r="A219">
        <v>2018</v>
      </c>
      <c r="B219" s="1" t="s">
        <v>173</v>
      </c>
      <c r="C219" s="17" t="str">
        <f t="shared" si="91"/>
        <v>Crédit Agricole</v>
      </c>
      <c r="E219" s="14">
        <f t="shared" si="79"/>
        <v>4065633.51</v>
      </c>
      <c r="F219" s="14">
        <f t="shared" si="80"/>
        <v>761716.74</v>
      </c>
      <c r="G219" s="14">
        <f t="shared" si="81"/>
        <v>136766.84</v>
      </c>
      <c r="H219" s="14">
        <f t="shared" si="82"/>
        <v>624949.9</v>
      </c>
      <c r="I219" s="14">
        <f t="shared" si="94"/>
        <v>0</v>
      </c>
      <c r="K219" s="12">
        <f t="shared" si="92"/>
        <v>2.8331658760414161E-2</v>
      </c>
      <c r="L219" s="1" t="str">
        <f t="shared" si="93"/>
        <v>2018_0023</v>
      </c>
      <c r="M219" s="14" t="e">
        <f t="shared" si="83"/>
        <v>#N/A</v>
      </c>
      <c r="O219" s="55">
        <f t="shared" si="70"/>
        <v>4065633.51</v>
      </c>
      <c r="P219" s="55"/>
      <c r="Q219" s="55">
        <f t="shared" si="75"/>
        <v>136766.84</v>
      </c>
      <c r="R219" s="55">
        <f t="shared" si="76"/>
        <v>624949.9</v>
      </c>
      <c r="S219" s="55">
        <f t="shared" si="84"/>
        <v>0</v>
      </c>
      <c r="T219" s="55">
        <f t="shared" si="85"/>
        <v>58051.94</v>
      </c>
      <c r="U219" s="55">
        <f t="shared" si="77"/>
        <v>0</v>
      </c>
      <c r="V219" s="55">
        <f t="shared" si="86"/>
        <v>4065633.51</v>
      </c>
      <c r="W219" s="55">
        <f t="shared" si="78"/>
        <v>4366113.6423013695</v>
      </c>
      <c r="X219" s="14">
        <f>SUMPRODUCT((Annee_debut=$A219)*(emprunts!$C$2:$C$149=$C219),fraction_annee_absente)</f>
        <v>0</v>
      </c>
      <c r="Z219" s="14">
        <f t="shared" si="88"/>
        <v>4366113.6423013695</v>
      </c>
      <c r="AA219" s="12">
        <f t="shared" si="87"/>
        <v>3.1324617544290598E-2</v>
      </c>
    </row>
    <row r="220" spans="1:27">
      <c r="A220">
        <v>2018</v>
      </c>
      <c r="B220" s="1" t="s">
        <v>172</v>
      </c>
      <c r="C220" s="17" t="str">
        <f t="shared" si="91"/>
        <v>Rheinboden Hypothekenbank</v>
      </c>
      <c r="E220" s="14">
        <f t="shared" si="79"/>
        <v>0</v>
      </c>
      <c r="F220" s="14">
        <f t="shared" si="80"/>
        <v>0</v>
      </c>
      <c r="G220" s="14">
        <f t="shared" si="81"/>
        <v>0</v>
      </c>
      <c r="H220" s="14">
        <f t="shared" si="82"/>
        <v>0</v>
      </c>
      <c r="I220" s="14">
        <f t="shared" si="94"/>
        <v>0</v>
      </c>
      <c r="K220" s="12" t="str">
        <f t="shared" si="92"/>
        <v/>
      </c>
      <c r="L220" s="1" t="str">
        <f t="shared" si="93"/>
        <v>2018_0025</v>
      </c>
      <c r="M220" s="14" t="str">
        <f t="shared" si="83"/>
        <v/>
      </c>
      <c r="O220" s="55">
        <f t="shared" si="70"/>
        <v>0</v>
      </c>
      <c r="P220" s="55"/>
      <c r="Q220" s="55">
        <f t="shared" si="75"/>
        <v>0</v>
      </c>
      <c r="R220" s="55">
        <f t="shared" si="76"/>
        <v>0</v>
      </c>
      <c r="S220" s="55">
        <f t="shared" si="84"/>
        <v>0</v>
      </c>
      <c r="T220" s="55">
        <f t="shared" si="85"/>
        <v>0</v>
      </c>
      <c r="U220" s="55">
        <f t="shared" si="77"/>
        <v>0</v>
      </c>
      <c r="V220" s="55">
        <f t="shared" si="86"/>
        <v>0</v>
      </c>
      <c r="W220" s="55">
        <f t="shared" si="78"/>
        <v>0</v>
      </c>
      <c r="X220" s="14">
        <f>SUMPRODUCT((Annee_debut=$A220)*(emprunts!$C$2:$C$149=$C220),fraction_annee_absente)</f>
        <v>0</v>
      </c>
      <c r="Z220" s="14">
        <f t="shared" si="88"/>
        <v>0</v>
      </c>
      <c r="AA220" s="12" t="e">
        <f t="shared" si="87"/>
        <v>#DIV/0!</v>
      </c>
    </row>
    <row r="221" spans="1:27">
      <c r="A221">
        <v>2018</v>
      </c>
      <c r="B221" s="1" t="s">
        <v>277</v>
      </c>
      <c r="C221" s="17" t="str">
        <f t="shared" si="91"/>
        <v>Arkea</v>
      </c>
      <c r="E221" s="14">
        <f t="shared" si="79"/>
        <v>8889737</v>
      </c>
      <c r="F221" s="14">
        <f t="shared" si="80"/>
        <v>629863.6</v>
      </c>
      <c r="G221" s="14">
        <f t="shared" si="81"/>
        <v>217724.49</v>
      </c>
      <c r="H221" s="14">
        <f t="shared" si="82"/>
        <v>412139.11</v>
      </c>
      <c r="I221" s="14">
        <f t="shared" si="94"/>
        <v>0</v>
      </c>
      <c r="K221" s="12">
        <f t="shared" si="92"/>
        <v>2.2871179070264775E-2</v>
      </c>
      <c r="L221" s="1" t="str">
        <f t="shared" si="93"/>
        <v>2018_Arkea</v>
      </c>
      <c r="M221" s="14" t="e">
        <f t="shared" si="83"/>
        <v>#N/A</v>
      </c>
      <c r="O221" s="55">
        <f t="shared" si="70"/>
        <v>8889737</v>
      </c>
      <c r="P221" s="55"/>
      <c r="Q221" s="55">
        <f t="shared" si="75"/>
        <v>217724.49</v>
      </c>
      <c r="R221" s="55">
        <f t="shared" si="76"/>
        <v>412139.11</v>
      </c>
      <c r="S221" s="55">
        <f t="shared" si="84"/>
        <v>0</v>
      </c>
      <c r="T221" s="55">
        <f t="shared" si="85"/>
        <v>35262.620000000003</v>
      </c>
      <c r="U221" s="55">
        <f t="shared" si="77"/>
        <v>0</v>
      </c>
      <c r="V221" s="55">
        <f t="shared" si="86"/>
        <v>8889737</v>
      </c>
      <c r="W221" s="55">
        <f t="shared" si="78"/>
        <v>9070886.537041096</v>
      </c>
      <c r="X221" s="14">
        <f>SUMPRODUCT((Annee_debut=$A221)*(emprunts!$C$2:$C$149=$C221),fraction_annee_absente)</f>
        <v>0</v>
      </c>
      <c r="Z221" s="14">
        <f t="shared" si="88"/>
        <v>9070886.537041096</v>
      </c>
      <c r="AA221" s="12">
        <f t="shared" si="87"/>
        <v>2.4002559078533162E-2</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enableFormatConditionsCalculation="0"/>
  <dimension ref="A1:J115"/>
  <sheetViews>
    <sheetView workbookViewId="0">
      <pane ySplit="1" topLeftCell="A83" activePane="bottomLeft" state="frozenSplit"/>
      <selection activeCell="B13" sqref="B13"/>
      <selection pane="bottomLeft" activeCell="B110" sqref="B110:B115"/>
    </sheetView>
  </sheetViews>
  <sheetFormatPr baseColWidth="10" defaultRowHeight="15" x14ac:dyDescent="0"/>
  <cols>
    <col min="1" max="1" width="6" bestFit="1" customWidth="1"/>
    <col min="2" max="2" width="15" style="17" bestFit="1" customWidth="1"/>
    <col min="3" max="9" width="10.83203125" style="56"/>
    <col min="10" max="10" width="13" bestFit="1" customWidth="1"/>
  </cols>
  <sheetData>
    <row r="1" spans="1:10" s="7" customFormat="1" ht="45">
      <c r="A1" s="7" t="s">
        <v>161</v>
      </c>
      <c r="B1" s="15" t="s">
        <v>1</v>
      </c>
      <c r="C1" s="60" t="s">
        <v>482</v>
      </c>
      <c r="D1" s="60" t="s">
        <v>706</v>
      </c>
      <c r="E1" s="60" t="s">
        <v>583</v>
      </c>
      <c r="F1" s="60" t="s">
        <v>595</v>
      </c>
      <c r="G1" s="60" t="s">
        <v>700</v>
      </c>
      <c r="H1" s="60" t="s">
        <v>699</v>
      </c>
      <c r="I1" s="60" t="s">
        <v>586</v>
      </c>
      <c r="J1" s="7" t="s">
        <v>707</v>
      </c>
    </row>
    <row r="2" spans="1:10">
      <c r="A2" s="1">
        <v>2000</v>
      </c>
      <c r="B2" s="17" t="s">
        <v>702</v>
      </c>
      <c r="C2" s="55">
        <f t="shared" ref="C2:C33" si="0">SUMPRODUCT((annee_tous=$A2)*(categorie_tous=$B2),encours_tous)</f>
        <v>185884644.16328561</v>
      </c>
      <c r="D2" s="55"/>
      <c r="E2" s="55">
        <f t="shared" ref="E2:E33" si="1">SUMPRODUCT((annee_tous=$A2)*(categorie_tous=$B2),interet_tous)+SUMPRODUCT((annee_tous=$A2)*(categorie_tous=$B2),frais_tous)</f>
        <v>9625412.0578113832</v>
      </c>
      <c r="F2" s="55">
        <f t="shared" ref="F2:F33" si="2">SUMPRODUCT((annee_tous=$A2)*(categorie_tous=$B2),amortissement_tous)</f>
        <v>13276215.700983597</v>
      </c>
      <c r="G2" s="55">
        <f t="shared" ref="G2:G33" si="3">SUMPRODUCT((annee_tous=$A2)*(categorie_tous=$B2),frais_tous)</f>
        <v>-9.1483356896787882E-2</v>
      </c>
      <c r="H2" s="55">
        <f t="shared" ref="H2:H33" si="4">SUMPRODUCT((annee_tous=$A2)*(categorie_tous=$B2),ICNE_tous)</f>
        <v>2835892.2097347439</v>
      </c>
      <c r="I2" s="55">
        <f t="shared" ref="I2:I33" si="5">SUMPRODUCT((annee_tous=$A2)*(categorie_tous=$B2),encours_moyen_tous)</f>
        <v>192522752.01377738</v>
      </c>
      <c r="J2" s="12">
        <f>IF(I2=0,#N/A,E2/I2)</f>
        <v>4.9996231391511409E-2</v>
      </c>
    </row>
    <row r="3" spans="1:10">
      <c r="A3" s="1">
        <v>2000</v>
      </c>
      <c r="B3" s="17" t="s">
        <v>591</v>
      </c>
      <c r="C3" s="55">
        <f t="shared" si="0"/>
        <v>0</v>
      </c>
      <c r="D3" s="55"/>
      <c r="E3" s="55">
        <f t="shared" si="1"/>
        <v>0</v>
      </c>
      <c r="F3" s="55">
        <f t="shared" si="2"/>
        <v>0</v>
      </c>
      <c r="G3" s="55">
        <f t="shared" si="3"/>
        <v>0</v>
      </c>
      <c r="H3" s="55">
        <f t="shared" si="4"/>
        <v>0</v>
      </c>
      <c r="I3" s="55">
        <f t="shared" si="5"/>
        <v>0</v>
      </c>
      <c r="J3" s="12" t="e">
        <f t="shared" ref="J3:J79" si="6">IF(I3=0,#N/A,E3/I3)</f>
        <v>#N/A</v>
      </c>
    </row>
    <row r="4" spans="1:10">
      <c r="A4" s="1">
        <v>2000</v>
      </c>
      <c r="B4" s="17" t="s">
        <v>549</v>
      </c>
      <c r="C4" s="55">
        <f t="shared" si="0"/>
        <v>0</v>
      </c>
      <c r="D4" s="55"/>
      <c r="E4" s="55">
        <f t="shared" si="1"/>
        <v>0</v>
      </c>
      <c r="F4" s="55">
        <f t="shared" si="2"/>
        <v>0</v>
      </c>
      <c r="G4" s="55">
        <f t="shared" si="3"/>
        <v>0</v>
      </c>
      <c r="H4" s="55">
        <f t="shared" si="4"/>
        <v>0</v>
      </c>
      <c r="I4" s="55">
        <f t="shared" si="5"/>
        <v>0</v>
      </c>
      <c r="J4" s="12" t="e">
        <f t="shared" si="6"/>
        <v>#N/A</v>
      </c>
    </row>
    <row r="5" spans="1:10">
      <c r="A5" s="1">
        <v>2000</v>
      </c>
      <c r="B5" s="17" t="s">
        <v>711</v>
      </c>
      <c r="C5" s="55">
        <f t="shared" si="0"/>
        <v>0</v>
      </c>
      <c r="D5" s="55"/>
      <c r="E5" s="55">
        <f t="shared" si="1"/>
        <v>0</v>
      </c>
      <c r="F5" s="55">
        <f t="shared" si="2"/>
        <v>0</v>
      </c>
      <c r="G5" s="55">
        <f t="shared" si="3"/>
        <v>0</v>
      </c>
      <c r="H5" s="55">
        <f t="shared" si="4"/>
        <v>0</v>
      </c>
      <c r="I5" s="55">
        <f t="shared" si="5"/>
        <v>0</v>
      </c>
      <c r="J5" s="12" t="e">
        <f>IF(I5=0,#N/A,E5/I5)</f>
        <v>#N/A</v>
      </c>
    </row>
    <row r="6" spans="1:10">
      <c r="A6" s="1">
        <v>2000</v>
      </c>
      <c r="B6" s="17" t="s">
        <v>712</v>
      </c>
      <c r="C6" s="55">
        <f t="shared" si="0"/>
        <v>0</v>
      </c>
      <c r="D6" s="55"/>
      <c r="E6" s="55">
        <f t="shared" si="1"/>
        <v>0</v>
      </c>
      <c r="F6" s="55">
        <f t="shared" si="2"/>
        <v>0</v>
      </c>
      <c r="G6" s="55">
        <f t="shared" si="3"/>
        <v>0</v>
      </c>
      <c r="H6" s="55">
        <f t="shared" si="4"/>
        <v>0</v>
      </c>
      <c r="I6" s="55">
        <f t="shared" si="5"/>
        <v>0</v>
      </c>
      <c r="J6" s="12" t="e">
        <f t="shared" ref="J6" si="7">IF(I6=0,#N/A,E6/I6)</f>
        <v>#N/A</v>
      </c>
    </row>
    <row r="7" spans="1:10">
      <c r="A7" s="1">
        <v>2000</v>
      </c>
      <c r="B7" s="17" t="s">
        <v>551</v>
      </c>
      <c r="C7" s="55">
        <f t="shared" si="0"/>
        <v>0</v>
      </c>
      <c r="D7" s="55"/>
      <c r="E7" s="55">
        <f t="shared" si="1"/>
        <v>0</v>
      </c>
      <c r="F7" s="55">
        <f t="shared" si="2"/>
        <v>0</v>
      </c>
      <c r="G7" s="55">
        <f t="shared" si="3"/>
        <v>0</v>
      </c>
      <c r="H7" s="55">
        <f t="shared" si="4"/>
        <v>0</v>
      </c>
      <c r="I7" s="55">
        <f t="shared" si="5"/>
        <v>0</v>
      </c>
      <c r="J7" s="12" t="e">
        <f t="shared" si="6"/>
        <v>#N/A</v>
      </c>
    </row>
    <row r="8" spans="1:10">
      <c r="A8" s="1">
        <v>2001</v>
      </c>
      <c r="B8" s="17" t="s">
        <v>702</v>
      </c>
      <c r="C8" s="55">
        <f t="shared" si="0"/>
        <v>173813330.9669638</v>
      </c>
      <c r="D8" s="55"/>
      <c r="E8" s="55">
        <f t="shared" si="1"/>
        <v>10069592.368458368</v>
      </c>
      <c r="F8" s="55">
        <f t="shared" si="2"/>
        <v>16781963.275531098</v>
      </c>
      <c r="G8" s="55">
        <f t="shared" si="3"/>
        <v>57808.160925324075</v>
      </c>
      <c r="H8" s="55">
        <f t="shared" si="4"/>
        <v>3291463.0704559069</v>
      </c>
      <c r="I8" s="55">
        <f t="shared" si="5"/>
        <v>182204312.60472941</v>
      </c>
      <c r="J8" s="12">
        <f t="shared" si="6"/>
        <v>5.5265389850036928E-2</v>
      </c>
    </row>
    <row r="9" spans="1:10">
      <c r="A9" s="1">
        <v>2001</v>
      </c>
      <c r="B9" s="17" t="s">
        <v>591</v>
      </c>
      <c r="C9" s="55">
        <f t="shared" si="0"/>
        <v>0</v>
      </c>
      <c r="D9" s="55"/>
      <c r="E9" s="55">
        <f t="shared" si="1"/>
        <v>0</v>
      </c>
      <c r="F9" s="55">
        <f t="shared" si="2"/>
        <v>0</v>
      </c>
      <c r="G9" s="55">
        <f t="shared" si="3"/>
        <v>0</v>
      </c>
      <c r="H9" s="55">
        <f t="shared" si="4"/>
        <v>0</v>
      </c>
      <c r="I9" s="55">
        <f t="shared" si="5"/>
        <v>0</v>
      </c>
      <c r="J9" s="12" t="e">
        <f t="shared" si="6"/>
        <v>#N/A</v>
      </c>
    </row>
    <row r="10" spans="1:10">
      <c r="A10" s="1">
        <v>2001</v>
      </c>
      <c r="B10" s="17" t="s">
        <v>549</v>
      </c>
      <c r="C10" s="55">
        <f t="shared" si="0"/>
        <v>1989353.1532026036</v>
      </c>
      <c r="D10" s="55"/>
      <c r="E10" s="55">
        <f t="shared" si="1"/>
        <v>80371.933211050578</v>
      </c>
      <c r="F10" s="55">
        <f t="shared" si="2"/>
        <v>71292.68880258959</v>
      </c>
      <c r="G10" s="55">
        <f t="shared" si="3"/>
        <v>0</v>
      </c>
      <c r="H10" s="55">
        <f t="shared" si="4"/>
        <v>31361.200688564732</v>
      </c>
      <c r="I10" s="55">
        <f t="shared" si="5"/>
        <v>1922537.6779823853</v>
      </c>
      <c r="J10" s="12">
        <f t="shared" si="6"/>
        <v>4.1805127738977384E-2</v>
      </c>
    </row>
    <row r="11" spans="1:10">
      <c r="A11" s="1">
        <v>2001</v>
      </c>
      <c r="B11" s="17" t="s">
        <v>711</v>
      </c>
      <c r="C11" s="55">
        <f t="shared" si="0"/>
        <v>0</v>
      </c>
      <c r="D11" s="55"/>
      <c r="E11" s="55">
        <f t="shared" si="1"/>
        <v>0</v>
      </c>
      <c r="F11" s="55">
        <f t="shared" si="2"/>
        <v>0</v>
      </c>
      <c r="G11" s="55">
        <f t="shared" si="3"/>
        <v>0</v>
      </c>
      <c r="H11" s="55">
        <f t="shared" si="4"/>
        <v>0</v>
      </c>
      <c r="I11" s="55">
        <f t="shared" si="5"/>
        <v>0</v>
      </c>
      <c r="J11" s="12" t="e">
        <f t="shared" ref="J11:J12" si="8">IF(I11=0,#N/A,E11/I11)</f>
        <v>#N/A</v>
      </c>
    </row>
    <row r="12" spans="1:10">
      <c r="A12" s="1">
        <v>2001</v>
      </c>
      <c r="B12" s="17" t="s">
        <v>712</v>
      </c>
      <c r="C12" s="55">
        <f t="shared" si="0"/>
        <v>0</v>
      </c>
      <c r="D12" s="55"/>
      <c r="E12" s="55">
        <f t="shared" si="1"/>
        <v>0</v>
      </c>
      <c r="F12" s="55">
        <f t="shared" si="2"/>
        <v>0</v>
      </c>
      <c r="G12" s="55">
        <f t="shared" si="3"/>
        <v>0</v>
      </c>
      <c r="H12" s="55">
        <f t="shared" si="4"/>
        <v>0</v>
      </c>
      <c r="I12" s="55">
        <f t="shared" si="5"/>
        <v>0</v>
      </c>
      <c r="J12" s="12" t="e">
        <f t="shared" si="8"/>
        <v>#N/A</v>
      </c>
    </row>
    <row r="13" spans="1:10">
      <c r="A13" s="1">
        <v>2001</v>
      </c>
      <c r="B13" s="17" t="s">
        <v>551</v>
      </c>
      <c r="C13" s="55">
        <f t="shared" si="0"/>
        <v>3049445.2296765912</v>
      </c>
      <c r="D13" s="55"/>
      <c r="E13" s="55">
        <f t="shared" si="1"/>
        <v>0</v>
      </c>
      <c r="F13" s="55">
        <f t="shared" si="2"/>
        <v>0</v>
      </c>
      <c r="G13" s="55">
        <f t="shared" si="3"/>
        <v>0</v>
      </c>
      <c r="H13" s="55">
        <f t="shared" si="4"/>
        <v>12486.773793677587</v>
      </c>
      <c r="I13" s="55">
        <f t="shared" si="5"/>
        <v>292412.55627035804</v>
      </c>
      <c r="J13" s="12">
        <f t="shared" si="6"/>
        <v>0</v>
      </c>
    </row>
    <row r="14" spans="1:10">
      <c r="A14" s="1">
        <v>2002</v>
      </c>
      <c r="B14" s="17" t="s">
        <v>702</v>
      </c>
      <c r="C14" s="55">
        <f t="shared" si="0"/>
        <v>88193228.090000004</v>
      </c>
      <c r="D14" s="55"/>
      <c r="E14" s="55">
        <f t="shared" si="1"/>
        <v>8655500.879999999</v>
      </c>
      <c r="F14" s="55">
        <f t="shared" si="2"/>
        <v>22027617.800000001</v>
      </c>
      <c r="G14" s="55">
        <f t="shared" si="3"/>
        <v>0</v>
      </c>
      <c r="H14" s="55">
        <f t="shared" si="4"/>
        <v>1356191.9300000002</v>
      </c>
      <c r="I14" s="55">
        <f t="shared" si="5"/>
        <v>99207036.99000001</v>
      </c>
      <c r="J14" s="12">
        <f t="shared" si="6"/>
        <v>8.7246844000314877E-2</v>
      </c>
    </row>
    <row r="15" spans="1:10">
      <c r="A15" s="1">
        <v>2002</v>
      </c>
      <c r="B15" s="17" t="s">
        <v>591</v>
      </c>
      <c r="C15" s="55">
        <f t="shared" si="0"/>
        <v>12643205</v>
      </c>
      <c r="D15" s="55"/>
      <c r="E15" s="55">
        <f t="shared" si="1"/>
        <v>0</v>
      </c>
      <c r="F15" s="55">
        <f t="shared" si="2"/>
        <v>0</v>
      </c>
      <c r="G15" s="55">
        <f t="shared" si="3"/>
        <v>0</v>
      </c>
      <c r="H15" s="55">
        <f t="shared" si="4"/>
        <v>228715.81</v>
      </c>
      <c r="I15" s="55">
        <f t="shared" si="5"/>
        <v>5495414.0657534245</v>
      </c>
      <c r="J15" s="12">
        <f t="shared" si="6"/>
        <v>0</v>
      </c>
    </row>
    <row r="16" spans="1:10">
      <c r="A16" s="1">
        <v>2002</v>
      </c>
      <c r="B16" s="17" t="s">
        <v>549</v>
      </c>
      <c r="C16" s="55">
        <f t="shared" si="0"/>
        <v>8342205.3200000003</v>
      </c>
      <c r="D16" s="55"/>
      <c r="E16" s="55">
        <f t="shared" si="1"/>
        <v>105637.61</v>
      </c>
      <c r="F16" s="55">
        <f t="shared" si="2"/>
        <v>0</v>
      </c>
      <c r="G16" s="55">
        <f t="shared" si="3"/>
        <v>0</v>
      </c>
      <c r="H16" s="55">
        <f t="shared" si="4"/>
        <v>188673.51</v>
      </c>
      <c r="I16" s="55">
        <f t="shared" si="5"/>
        <v>5889851.3775342461</v>
      </c>
      <c r="J16" s="12">
        <f t="shared" si="6"/>
        <v>1.7935530666008861E-2</v>
      </c>
    </row>
    <row r="17" spans="1:10">
      <c r="A17" s="1">
        <v>2002</v>
      </c>
      <c r="B17" s="17" t="s">
        <v>711</v>
      </c>
      <c r="C17" s="55">
        <f t="shared" si="0"/>
        <v>0</v>
      </c>
      <c r="D17" s="55"/>
      <c r="E17" s="55">
        <f t="shared" si="1"/>
        <v>0</v>
      </c>
      <c r="F17" s="55">
        <f t="shared" si="2"/>
        <v>0</v>
      </c>
      <c r="G17" s="55">
        <f t="shared" si="3"/>
        <v>0</v>
      </c>
      <c r="H17" s="55">
        <f t="shared" si="4"/>
        <v>0</v>
      </c>
      <c r="I17" s="55">
        <f t="shared" si="5"/>
        <v>0</v>
      </c>
      <c r="J17" s="12" t="e">
        <f t="shared" si="6"/>
        <v>#N/A</v>
      </c>
    </row>
    <row r="18" spans="1:10">
      <c r="A18" s="1">
        <v>2002</v>
      </c>
      <c r="B18" s="17" t="s">
        <v>712</v>
      </c>
      <c r="C18" s="55">
        <f t="shared" si="0"/>
        <v>0</v>
      </c>
      <c r="D18" s="55"/>
      <c r="E18" s="55">
        <f t="shared" si="1"/>
        <v>0</v>
      </c>
      <c r="F18" s="55">
        <f t="shared" si="2"/>
        <v>0</v>
      </c>
      <c r="G18" s="55">
        <f t="shared" si="3"/>
        <v>0</v>
      </c>
      <c r="H18" s="55">
        <f t="shared" si="4"/>
        <v>0</v>
      </c>
      <c r="I18" s="55">
        <f t="shared" si="5"/>
        <v>0</v>
      </c>
      <c r="J18" s="12" t="e">
        <f t="shared" si="6"/>
        <v>#N/A</v>
      </c>
    </row>
    <row r="19" spans="1:10">
      <c r="A19" s="1">
        <v>2002</v>
      </c>
      <c r="B19" s="17" t="s">
        <v>551</v>
      </c>
      <c r="C19" s="55">
        <f t="shared" si="0"/>
        <v>73641529.179999992</v>
      </c>
      <c r="D19" s="55"/>
      <c r="E19" s="55">
        <f t="shared" si="1"/>
        <v>1050311.8400000001</v>
      </c>
      <c r="F19" s="55">
        <f t="shared" si="2"/>
        <v>152449</v>
      </c>
      <c r="G19" s="55">
        <f t="shared" si="3"/>
        <v>0</v>
      </c>
      <c r="H19" s="55">
        <f t="shared" si="4"/>
        <v>642933.38</v>
      </c>
      <c r="I19" s="55">
        <f t="shared" si="5"/>
        <v>54730431.563178085</v>
      </c>
      <c r="J19" s="12">
        <f t="shared" si="6"/>
        <v>1.9190636908966677E-2</v>
      </c>
    </row>
    <row r="20" spans="1:10">
      <c r="A20">
        <v>2003</v>
      </c>
      <c r="B20" s="17" t="s">
        <v>702</v>
      </c>
      <c r="C20" s="55">
        <f t="shared" si="0"/>
        <v>52736617.290000007</v>
      </c>
      <c r="D20" s="55"/>
      <c r="E20" s="55">
        <f t="shared" si="1"/>
        <v>4593568.16</v>
      </c>
      <c r="F20" s="55">
        <f t="shared" si="2"/>
        <v>14388661.75</v>
      </c>
      <c r="G20" s="55">
        <f t="shared" si="3"/>
        <v>0</v>
      </c>
      <c r="H20" s="55">
        <f t="shared" si="4"/>
        <v>727897.81000000029</v>
      </c>
      <c r="I20" s="55">
        <f t="shared" si="5"/>
        <v>59930948.165000007</v>
      </c>
      <c r="J20" s="12">
        <f t="shared" si="6"/>
        <v>7.6647680382982294E-2</v>
      </c>
    </row>
    <row r="21" spans="1:10">
      <c r="A21">
        <v>2003</v>
      </c>
      <c r="B21" s="17" t="s">
        <v>591</v>
      </c>
      <c r="C21" s="55">
        <f t="shared" si="0"/>
        <v>12350529.560000001</v>
      </c>
      <c r="D21" s="55"/>
      <c r="E21" s="55">
        <f t="shared" si="1"/>
        <v>322734.27999999997</v>
      </c>
      <c r="F21" s="55">
        <f t="shared" si="2"/>
        <v>292675.44</v>
      </c>
      <c r="G21" s="55">
        <f t="shared" si="3"/>
        <v>0</v>
      </c>
      <c r="H21" s="55">
        <f t="shared" si="4"/>
        <v>373703.31999999995</v>
      </c>
      <c r="I21" s="55">
        <f t="shared" si="5"/>
        <v>10902810.633534247</v>
      </c>
      <c r="J21" s="12">
        <f t="shared" si="6"/>
        <v>2.9601016733002052E-2</v>
      </c>
    </row>
    <row r="22" spans="1:10">
      <c r="A22">
        <v>2003</v>
      </c>
      <c r="B22" s="17" t="s">
        <v>549</v>
      </c>
      <c r="C22" s="55">
        <f t="shared" si="0"/>
        <v>8358035.0899999999</v>
      </c>
      <c r="D22" s="55"/>
      <c r="E22" s="55">
        <f t="shared" si="1"/>
        <v>496561.91000000003</v>
      </c>
      <c r="F22" s="55">
        <f t="shared" si="2"/>
        <v>6822419.71</v>
      </c>
      <c r="G22" s="55">
        <f t="shared" si="3"/>
        <v>0</v>
      </c>
      <c r="H22" s="55">
        <f t="shared" si="4"/>
        <v>184939.19</v>
      </c>
      <c r="I22" s="55">
        <f t="shared" si="5"/>
        <v>9311341.2857945189</v>
      </c>
      <c r="J22" s="12">
        <f t="shared" si="6"/>
        <v>5.3328719757867765E-2</v>
      </c>
    </row>
    <row r="23" spans="1:10">
      <c r="A23">
        <v>2003</v>
      </c>
      <c r="B23" s="17" t="s">
        <v>711</v>
      </c>
      <c r="C23" s="55">
        <f t="shared" si="0"/>
        <v>0</v>
      </c>
      <c r="D23" s="55"/>
      <c r="E23" s="55">
        <f t="shared" si="1"/>
        <v>0</v>
      </c>
      <c r="F23" s="55">
        <f t="shared" si="2"/>
        <v>0</v>
      </c>
      <c r="G23" s="55">
        <f t="shared" si="3"/>
        <v>0</v>
      </c>
      <c r="H23" s="55">
        <f t="shared" si="4"/>
        <v>0</v>
      </c>
      <c r="I23" s="55">
        <f t="shared" si="5"/>
        <v>0</v>
      </c>
      <c r="J23" s="12" t="e">
        <f t="shared" ref="J23:J24" si="9">IF(I23=0,#N/A,E23/I23)</f>
        <v>#N/A</v>
      </c>
    </row>
    <row r="24" spans="1:10">
      <c r="A24">
        <v>2003</v>
      </c>
      <c r="B24" s="17" t="s">
        <v>712</v>
      </c>
      <c r="C24" s="55">
        <f t="shared" si="0"/>
        <v>0</v>
      </c>
      <c r="D24" s="55"/>
      <c r="E24" s="55">
        <f t="shared" si="1"/>
        <v>0</v>
      </c>
      <c r="F24" s="55">
        <f t="shared" si="2"/>
        <v>0</v>
      </c>
      <c r="G24" s="55">
        <f t="shared" si="3"/>
        <v>0</v>
      </c>
      <c r="H24" s="55">
        <f t="shared" si="4"/>
        <v>0</v>
      </c>
      <c r="I24" s="55">
        <f t="shared" si="5"/>
        <v>0</v>
      </c>
      <c r="J24" s="12" t="e">
        <f t="shared" si="9"/>
        <v>#N/A</v>
      </c>
    </row>
    <row r="25" spans="1:10">
      <c r="A25">
        <v>2003</v>
      </c>
      <c r="B25" s="17" t="s">
        <v>551</v>
      </c>
      <c r="C25" s="55">
        <f t="shared" si="0"/>
        <v>104877730.63999999</v>
      </c>
      <c r="D25" s="55"/>
      <c r="E25" s="55">
        <f t="shared" si="1"/>
        <v>3331298.4299999997</v>
      </c>
      <c r="F25" s="55">
        <f t="shared" si="2"/>
        <v>2478162.4900000002</v>
      </c>
      <c r="G25" s="55">
        <f t="shared" si="3"/>
        <v>0</v>
      </c>
      <c r="H25" s="55">
        <f t="shared" si="4"/>
        <v>1961422.9699999997</v>
      </c>
      <c r="I25" s="55">
        <f t="shared" si="5"/>
        <v>99128809.951972619</v>
      </c>
      <c r="J25" s="12">
        <f t="shared" si="6"/>
        <v>3.3605754286912114E-2</v>
      </c>
    </row>
    <row r="26" spans="1:10">
      <c r="A26">
        <v>2004</v>
      </c>
      <c r="B26" s="17" t="s">
        <v>702</v>
      </c>
      <c r="C26" s="55">
        <f t="shared" si="0"/>
        <v>35355844.149999991</v>
      </c>
      <c r="D26" s="55"/>
      <c r="E26" s="55">
        <f t="shared" si="1"/>
        <v>2690375.4299999997</v>
      </c>
      <c r="F26" s="55">
        <f t="shared" si="2"/>
        <v>13348111.9</v>
      </c>
      <c r="G26" s="55">
        <f t="shared" si="3"/>
        <v>0</v>
      </c>
      <c r="H26" s="55">
        <f t="shared" si="4"/>
        <v>451161.67999999993</v>
      </c>
      <c r="I26" s="55">
        <f t="shared" si="5"/>
        <v>42029900.379999995</v>
      </c>
      <c r="J26" s="12">
        <f t="shared" si="6"/>
        <v>6.4010987551143941E-2</v>
      </c>
    </row>
    <row r="27" spans="1:10">
      <c r="A27">
        <v>2004</v>
      </c>
      <c r="B27" s="17" t="s">
        <v>591</v>
      </c>
      <c r="C27" s="55">
        <f t="shared" si="0"/>
        <v>11904813</v>
      </c>
      <c r="D27" s="55"/>
      <c r="E27" s="55">
        <f t="shared" si="1"/>
        <v>456620.69999999995</v>
      </c>
      <c r="F27" s="55">
        <f t="shared" si="2"/>
        <v>445717.04000000004</v>
      </c>
      <c r="G27" s="55">
        <f t="shared" si="3"/>
        <v>0</v>
      </c>
      <c r="H27" s="55">
        <f t="shared" si="4"/>
        <v>303256.06000000006</v>
      </c>
      <c r="I27" s="55">
        <f t="shared" si="5"/>
        <v>10624518.91</v>
      </c>
      <c r="J27" s="12">
        <f t="shared" si="6"/>
        <v>4.2978011886281253E-2</v>
      </c>
    </row>
    <row r="28" spans="1:10">
      <c r="A28">
        <v>2004</v>
      </c>
      <c r="B28" s="17" t="s">
        <v>549</v>
      </c>
      <c r="C28" s="55">
        <f t="shared" si="0"/>
        <v>8192294</v>
      </c>
      <c r="D28" s="55"/>
      <c r="E28" s="55">
        <f t="shared" si="1"/>
        <v>415964.95000000007</v>
      </c>
      <c r="F28" s="55">
        <f t="shared" si="2"/>
        <v>1817699.77</v>
      </c>
      <c r="G28" s="55">
        <f t="shared" si="3"/>
        <v>0</v>
      </c>
      <c r="H28" s="55">
        <f t="shared" si="4"/>
        <v>196134.91999999998</v>
      </c>
      <c r="I28" s="55">
        <f t="shared" si="5"/>
        <v>10110954.785958905</v>
      </c>
      <c r="J28" s="12">
        <f t="shared" si="6"/>
        <v>4.1140026714158694E-2</v>
      </c>
    </row>
    <row r="29" spans="1:10">
      <c r="A29">
        <v>2004</v>
      </c>
      <c r="B29" s="17" t="s">
        <v>711</v>
      </c>
      <c r="C29" s="55">
        <f t="shared" si="0"/>
        <v>0</v>
      </c>
      <c r="D29" s="55"/>
      <c r="E29" s="55">
        <f t="shared" si="1"/>
        <v>0</v>
      </c>
      <c r="F29" s="55">
        <f t="shared" si="2"/>
        <v>0</v>
      </c>
      <c r="G29" s="55">
        <f t="shared" si="3"/>
        <v>0</v>
      </c>
      <c r="H29" s="55">
        <f t="shared" si="4"/>
        <v>0</v>
      </c>
      <c r="I29" s="55">
        <f t="shared" si="5"/>
        <v>0</v>
      </c>
      <c r="J29" s="12" t="e">
        <f t="shared" si="6"/>
        <v>#N/A</v>
      </c>
    </row>
    <row r="30" spans="1:10">
      <c r="A30">
        <v>2004</v>
      </c>
      <c r="B30" s="17" t="s">
        <v>712</v>
      </c>
      <c r="C30" s="55">
        <f t="shared" si="0"/>
        <v>0</v>
      </c>
      <c r="D30" s="55"/>
      <c r="E30" s="55">
        <f t="shared" si="1"/>
        <v>0</v>
      </c>
      <c r="F30" s="55">
        <f t="shared" si="2"/>
        <v>0</v>
      </c>
      <c r="G30" s="55">
        <f t="shared" si="3"/>
        <v>0</v>
      </c>
      <c r="H30" s="55">
        <f t="shared" si="4"/>
        <v>0</v>
      </c>
      <c r="I30" s="55">
        <f t="shared" si="5"/>
        <v>0</v>
      </c>
      <c r="J30" s="12" t="e">
        <f t="shared" si="6"/>
        <v>#N/A</v>
      </c>
    </row>
    <row r="31" spans="1:10">
      <c r="A31">
        <v>2004</v>
      </c>
      <c r="B31" s="17" t="s">
        <v>551</v>
      </c>
      <c r="C31" s="55">
        <f t="shared" si="0"/>
        <v>126487034.98</v>
      </c>
      <c r="D31" s="55"/>
      <c r="E31" s="55">
        <f t="shared" si="1"/>
        <v>3919130.8299999996</v>
      </c>
      <c r="F31" s="55">
        <f t="shared" si="2"/>
        <v>3857111.18</v>
      </c>
      <c r="G31" s="55">
        <f t="shared" si="3"/>
        <v>0</v>
      </c>
      <c r="H31" s="55">
        <f t="shared" si="4"/>
        <v>2750213.3499999996</v>
      </c>
      <c r="I31" s="55">
        <f t="shared" si="5"/>
        <v>120040774.2447945</v>
      </c>
      <c r="J31" s="12">
        <f t="shared" si="6"/>
        <v>3.2648330158283285E-2</v>
      </c>
    </row>
    <row r="32" spans="1:10">
      <c r="A32">
        <v>2005</v>
      </c>
      <c r="B32" s="17" t="s">
        <v>702</v>
      </c>
      <c r="C32" s="55">
        <f t="shared" si="0"/>
        <v>11477592.369999997</v>
      </c>
      <c r="D32" s="55"/>
      <c r="E32" s="55">
        <f t="shared" si="1"/>
        <v>1905329.6500000006</v>
      </c>
      <c r="F32" s="55">
        <f t="shared" si="2"/>
        <v>18334456.350000001</v>
      </c>
      <c r="G32" s="55">
        <f t="shared" si="3"/>
        <v>0</v>
      </c>
      <c r="H32" s="55">
        <f t="shared" si="4"/>
        <v>217360.19</v>
      </c>
      <c r="I32" s="55">
        <f t="shared" si="5"/>
        <v>20644820.544999994</v>
      </c>
      <c r="J32" s="12">
        <f t="shared" si="6"/>
        <v>9.2290928169945066E-2</v>
      </c>
    </row>
    <row r="33" spans="1:10">
      <c r="A33">
        <v>2005</v>
      </c>
      <c r="B33" s="17" t="s">
        <v>591</v>
      </c>
      <c r="C33" s="55">
        <f t="shared" si="0"/>
        <v>5766474</v>
      </c>
      <c r="D33" s="55"/>
      <c r="E33" s="55">
        <f t="shared" si="1"/>
        <v>373025.14</v>
      </c>
      <c r="F33" s="55">
        <f t="shared" si="2"/>
        <v>6138339.3200000012</v>
      </c>
      <c r="G33" s="55">
        <f t="shared" si="3"/>
        <v>0</v>
      </c>
      <c r="H33" s="55">
        <f t="shared" si="4"/>
        <v>172223.95</v>
      </c>
      <c r="I33" s="55">
        <f t="shared" si="5"/>
        <v>8077903.3578082193</v>
      </c>
      <c r="J33" s="12">
        <f t="shared" si="6"/>
        <v>4.6178460359943337E-2</v>
      </c>
    </row>
    <row r="34" spans="1:10">
      <c r="A34">
        <v>2005</v>
      </c>
      <c r="B34" s="17" t="s">
        <v>549</v>
      </c>
      <c r="C34" s="55">
        <f t="shared" ref="C34:C65" si="10">SUMPRODUCT((annee_tous=$A34)*(categorie_tous=$B34),encours_tous)</f>
        <v>13088573</v>
      </c>
      <c r="D34" s="55"/>
      <c r="E34" s="55">
        <f t="shared" ref="E34:E65" si="11">SUMPRODUCT((annee_tous=$A34)*(categorie_tous=$B34),interet_tous)+SUMPRODUCT((annee_tous=$A34)*(categorie_tous=$B34),frais_tous)</f>
        <v>352984.72000000003</v>
      </c>
      <c r="F34" s="55">
        <f t="shared" ref="F34:F65" si="12">SUMPRODUCT((annee_tous=$A34)*(categorie_tous=$B34),amortissement_tous)</f>
        <v>3348424.7</v>
      </c>
      <c r="G34" s="55">
        <f t="shared" ref="G34:G65" si="13">SUMPRODUCT((annee_tous=$A34)*(categorie_tous=$B34),frais_tous)</f>
        <v>0</v>
      </c>
      <c r="H34" s="55">
        <f t="shared" ref="H34:H65" si="14">SUMPRODUCT((annee_tous=$A34)*(categorie_tous=$B34),ICNE_tous)</f>
        <v>215688.05</v>
      </c>
      <c r="I34" s="55">
        <f t="shared" ref="I34:I65" si="15">SUMPRODUCT((annee_tous=$A34)*(categorie_tous=$B34),encours_moyen_tous)</f>
        <v>12366907.494246576</v>
      </c>
      <c r="J34" s="12">
        <f t="shared" si="6"/>
        <v>2.8542682975854571E-2</v>
      </c>
    </row>
    <row r="35" spans="1:10">
      <c r="A35">
        <v>2005</v>
      </c>
      <c r="B35" s="17" t="s">
        <v>711</v>
      </c>
      <c r="C35" s="55">
        <f t="shared" si="10"/>
        <v>0</v>
      </c>
      <c r="D35" s="55"/>
      <c r="E35" s="55">
        <f t="shared" si="11"/>
        <v>0</v>
      </c>
      <c r="F35" s="55">
        <f t="shared" si="12"/>
        <v>0</v>
      </c>
      <c r="G35" s="55">
        <f t="shared" si="13"/>
        <v>0</v>
      </c>
      <c r="H35" s="55">
        <f t="shared" si="14"/>
        <v>0</v>
      </c>
      <c r="I35" s="55">
        <f t="shared" si="15"/>
        <v>0</v>
      </c>
      <c r="J35" s="12" t="e">
        <f t="shared" ref="J35:J36" si="16">IF(I35=0,#N/A,E35/I35)</f>
        <v>#N/A</v>
      </c>
    </row>
    <row r="36" spans="1:10">
      <c r="A36">
        <v>2005</v>
      </c>
      <c r="B36" s="17" t="s">
        <v>712</v>
      </c>
      <c r="C36" s="55">
        <f t="shared" si="10"/>
        <v>0</v>
      </c>
      <c r="D36" s="55"/>
      <c r="E36" s="55">
        <f t="shared" si="11"/>
        <v>0</v>
      </c>
      <c r="F36" s="55">
        <f t="shared" si="12"/>
        <v>0</v>
      </c>
      <c r="G36" s="55">
        <f t="shared" si="13"/>
        <v>0</v>
      </c>
      <c r="H36" s="55">
        <f t="shared" si="14"/>
        <v>0</v>
      </c>
      <c r="I36" s="55">
        <f t="shared" si="15"/>
        <v>0</v>
      </c>
      <c r="J36" s="12" t="e">
        <f t="shared" si="16"/>
        <v>#N/A</v>
      </c>
    </row>
    <row r="37" spans="1:10">
      <c r="A37">
        <v>2005</v>
      </c>
      <c r="B37" s="17" t="s">
        <v>551</v>
      </c>
      <c r="C37" s="55">
        <f t="shared" si="10"/>
        <v>146857237</v>
      </c>
      <c r="D37" s="55"/>
      <c r="E37" s="55">
        <f t="shared" si="11"/>
        <v>4776810.78</v>
      </c>
      <c r="F37" s="55">
        <f t="shared" si="12"/>
        <v>4704480.2800000012</v>
      </c>
      <c r="G37" s="55">
        <f t="shared" si="13"/>
        <v>0</v>
      </c>
      <c r="H37" s="55">
        <f t="shared" si="14"/>
        <v>2623064.0499999998</v>
      </c>
      <c r="I37" s="55">
        <f t="shared" si="15"/>
        <v>142175294.30126026</v>
      </c>
      <c r="J37" s="12">
        <f t="shared" si="6"/>
        <v>3.3598036870444221E-2</v>
      </c>
    </row>
    <row r="38" spans="1:10">
      <c r="A38">
        <v>2006</v>
      </c>
      <c r="B38" s="17" t="s">
        <v>702</v>
      </c>
      <c r="C38" s="55">
        <f t="shared" si="10"/>
        <v>5424669.0799999852</v>
      </c>
      <c r="D38" s="55"/>
      <c r="E38" s="55">
        <f t="shared" si="11"/>
        <v>757340.54999999993</v>
      </c>
      <c r="F38" s="55">
        <f t="shared" si="12"/>
        <v>7641749.919999999</v>
      </c>
      <c r="G38" s="55">
        <f t="shared" si="13"/>
        <v>0</v>
      </c>
      <c r="H38" s="55">
        <f t="shared" si="14"/>
        <v>210750.53073946881</v>
      </c>
      <c r="I38" s="55">
        <f t="shared" si="15"/>
        <v>9245544.4699999839</v>
      </c>
      <c r="J38" s="12">
        <f t="shared" si="6"/>
        <v>8.1914110354173786E-2</v>
      </c>
    </row>
    <row r="39" spans="1:10">
      <c r="A39">
        <v>2006</v>
      </c>
      <c r="B39" s="17" t="s">
        <v>591</v>
      </c>
      <c r="C39" s="55">
        <f t="shared" si="10"/>
        <v>5498755</v>
      </c>
      <c r="D39" s="55"/>
      <c r="E39" s="55">
        <f t="shared" si="11"/>
        <v>176311.09999999998</v>
      </c>
      <c r="F39" s="55">
        <f t="shared" si="12"/>
        <v>267718.16000000003</v>
      </c>
      <c r="G39" s="55">
        <f t="shared" si="13"/>
        <v>0</v>
      </c>
      <c r="H39" s="55">
        <f t="shared" si="14"/>
        <v>155056.73000000001</v>
      </c>
      <c r="I39" s="55">
        <f t="shared" si="15"/>
        <v>5617182.2606027396</v>
      </c>
      <c r="J39" s="12">
        <f t="shared" si="6"/>
        <v>3.1387818984723717E-2</v>
      </c>
    </row>
    <row r="40" spans="1:10">
      <c r="A40">
        <v>2006</v>
      </c>
      <c r="B40" s="17" t="s">
        <v>549</v>
      </c>
      <c r="C40" s="55">
        <f t="shared" si="10"/>
        <v>29384945</v>
      </c>
      <c r="D40" s="55"/>
      <c r="E40" s="55">
        <f t="shared" si="11"/>
        <v>391549.46</v>
      </c>
      <c r="F40" s="55">
        <f t="shared" si="12"/>
        <v>4203629.63</v>
      </c>
      <c r="G40" s="55">
        <f t="shared" si="13"/>
        <v>0</v>
      </c>
      <c r="H40" s="55">
        <f t="shared" si="14"/>
        <v>353381.79000000004</v>
      </c>
      <c r="I40" s="55">
        <f t="shared" si="15"/>
        <v>20667665.839465756</v>
      </c>
      <c r="J40" s="12">
        <f t="shared" si="6"/>
        <v>1.8945025676403198E-2</v>
      </c>
    </row>
    <row r="41" spans="1:10">
      <c r="A41">
        <v>2006</v>
      </c>
      <c r="B41" s="17" t="s">
        <v>711</v>
      </c>
      <c r="C41" s="55">
        <f t="shared" si="10"/>
        <v>0</v>
      </c>
      <c r="D41" s="55"/>
      <c r="E41" s="55">
        <f t="shared" si="11"/>
        <v>0</v>
      </c>
      <c r="F41" s="55">
        <f t="shared" si="12"/>
        <v>0</v>
      </c>
      <c r="G41" s="55">
        <f t="shared" si="13"/>
        <v>0</v>
      </c>
      <c r="H41" s="55">
        <f t="shared" si="14"/>
        <v>0</v>
      </c>
      <c r="I41" s="55">
        <f t="shared" si="15"/>
        <v>0</v>
      </c>
      <c r="J41" s="12" t="e">
        <f t="shared" si="6"/>
        <v>#N/A</v>
      </c>
    </row>
    <row r="42" spans="1:10">
      <c r="A42">
        <v>2006</v>
      </c>
      <c r="B42" s="17" t="s">
        <v>712</v>
      </c>
      <c r="C42" s="55">
        <f t="shared" si="10"/>
        <v>0</v>
      </c>
      <c r="D42" s="55"/>
      <c r="E42" s="55">
        <f t="shared" si="11"/>
        <v>0</v>
      </c>
      <c r="F42" s="55">
        <f t="shared" si="12"/>
        <v>0</v>
      </c>
      <c r="G42" s="55">
        <f t="shared" si="13"/>
        <v>0</v>
      </c>
      <c r="H42" s="55">
        <f t="shared" si="14"/>
        <v>0</v>
      </c>
      <c r="I42" s="55">
        <f t="shared" si="15"/>
        <v>0</v>
      </c>
      <c r="J42" s="12" t="e">
        <f t="shared" si="6"/>
        <v>#N/A</v>
      </c>
    </row>
    <row r="43" spans="1:10">
      <c r="A43">
        <v>2006</v>
      </c>
      <c r="B43" s="17" t="s">
        <v>551</v>
      </c>
      <c r="C43" s="55">
        <f t="shared" si="10"/>
        <v>159914571</v>
      </c>
      <c r="D43" s="55"/>
      <c r="E43" s="55">
        <f t="shared" si="11"/>
        <v>4580736.41</v>
      </c>
      <c r="F43" s="55">
        <f t="shared" si="12"/>
        <v>7075118.5599999996</v>
      </c>
      <c r="G43" s="55">
        <f t="shared" si="13"/>
        <v>0</v>
      </c>
      <c r="H43" s="55">
        <f t="shared" si="14"/>
        <v>3196095.6100000003</v>
      </c>
      <c r="I43" s="55">
        <f t="shared" si="15"/>
        <v>147543967.45758906</v>
      </c>
      <c r="J43" s="12">
        <f t="shared" si="6"/>
        <v>3.1046585563159097E-2</v>
      </c>
    </row>
    <row r="44" spans="1:10">
      <c r="A44">
        <v>2007</v>
      </c>
      <c r="B44" s="17" t="s">
        <v>702</v>
      </c>
      <c r="C44" s="55">
        <f t="shared" si="10"/>
        <v>-3309407.3700000076</v>
      </c>
      <c r="D44" s="55"/>
      <c r="E44" s="55">
        <f t="shared" si="11"/>
        <v>184602.9999999982</v>
      </c>
      <c r="F44" s="55">
        <f t="shared" si="12"/>
        <v>-2261695.4499999997</v>
      </c>
      <c r="G44" s="55">
        <f t="shared" si="13"/>
        <v>0</v>
      </c>
      <c r="H44" s="55">
        <f t="shared" si="14"/>
        <v>21092.893730756674</v>
      </c>
      <c r="I44" s="55">
        <f t="shared" si="15"/>
        <v>1276694.0249999987</v>
      </c>
      <c r="J44" s="12">
        <f t="shared" si="6"/>
        <v>0.14459455154103848</v>
      </c>
    </row>
    <row r="45" spans="1:10">
      <c r="A45">
        <v>2007</v>
      </c>
      <c r="B45" s="17" t="s">
        <v>591</v>
      </c>
      <c r="C45" s="55">
        <f t="shared" si="10"/>
        <v>1699337</v>
      </c>
      <c r="D45" s="55"/>
      <c r="E45" s="55">
        <f t="shared" si="11"/>
        <v>160245.45000000001</v>
      </c>
      <c r="F45" s="55">
        <f t="shared" si="12"/>
        <v>3799418.1599999997</v>
      </c>
      <c r="G45" s="55">
        <f t="shared" si="13"/>
        <v>0</v>
      </c>
      <c r="H45" s="55">
        <f t="shared" si="14"/>
        <v>42634.73</v>
      </c>
      <c r="I45" s="55">
        <f t="shared" si="15"/>
        <v>3589185.6797808222</v>
      </c>
      <c r="J45" s="12">
        <f t="shared" si="6"/>
        <v>4.4646742826017737E-2</v>
      </c>
    </row>
    <row r="46" spans="1:10">
      <c r="A46">
        <v>2007</v>
      </c>
      <c r="B46" s="17" t="s">
        <v>549</v>
      </c>
      <c r="C46" s="55">
        <f t="shared" si="10"/>
        <v>19633185</v>
      </c>
      <c r="D46" s="55"/>
      <c r="E46" s="55">
        <f t="shared" si="11"/>
        <v>852376.3</v>
      </c>
      <c r="F46" s="55">
        <f t="shared" si="12"/>
        <v>1751759.48</v>
      </c>
      <c r="G46" s="55">
        <f t="shared" si="13"/>
        <v>0</v>
      </c>
      <c r="H46" s="55">
        <f t="shared" si="14"/>
        <v>338241.46</v>
      </c>
      <c r="I46" s="55">
        <f t="shared" si="15"/>
        <v>27910070.473753426</v>
      </c>
      <c r="J46" s="12">
        <f t="shared" si="6"/>
        <v>3.0540098449467298E-2</v>
      </c>
    </row>
    <row r="47" spans="1:10">
      <c r="A47">
        <v>2007</v>
      </c>
      <c r="B47" s="17" t="s">
        <v>711</v>
      </c>
      <c r="C47" s="55">
        <f t="shared" si="10"/>
        <v>0</v>
      </c>
      <c r="D47" s="55"/>
      <c r="E47" s="55">
        <f t="shared" si="11"/>
        <v>0</v>
      </c>
      <c r="F47" s="55">
        <f t="shared" si="12"/>
        <v>0</v>
      </c>
      <c r="G47" s="55">
        <f t="shared" si="13"/>
        <v>0</v>
      </c>
      <c r="H47" s="55">
        <f t="shared" si="14"/>
        <v>0</v>
      </c>
      <c r="I47" s="55">
        <f t="shared" si="15"/>
        <v>0</v>
      </c>
      <c r="J47" s="12" t="e">
        <f t="shared" ref="J47:J48" si="17">IF(I47=0,#N/A,E47/I47)</f>
        <v>#N/A</v>
      </c>
    </row>
    <row r="48" spans="1:10">
      <c r="A48">
        <v>2007</v>
      </c>
      <c r="B48" s="17" t="s">
        <v>712</v>
      </c>
      <c r="C48" s="55">
        <f t="shared" si="10"/>
        <v>0</v>
      </c>
      <c r="D48" s="55"/>
      <c r="E48" s="55">
        <f t="shared" si="11"/>
        <v>0</v>
      </c>
      <c r="F48" s="55">
        <f t="shared" si="12"/>
        <v>0</v>
      </c>
      <c r="G48" s="55">
        <f t="shared" si="13"/>
        <v>0</v>
      </c>
      <c r="H48" s="55">
        <f t="shared" si="14"/>
        <v>0</v>
      </c>
      <c r="I48" s="55">
        <f t="shared" si="15"/>
        <v>0</v>
      </c>
      <c r="J48" s="12" t="e">
        <f t="shared" si="17"/>
        <v>#N/A</v>
      </c>
    </row>
    <row r="49" spans="1:10">
      <c r="A49">
        <v>2007</v>
      </c>
      <c r="B49" s="17" t="s">
        <v>551</v>
      </c>
      <c r="C49" s="55">
        <f t="shared" si="10"/>
        <v>190884927.43000001</v>
      </c>
      <c r="D49" s="55"/>
      <c r="E49" s="55">
        <f t="shared" si="11"/>
        <v>5990927.9500000002</v>
      </c>
      <c r="F49" s="55">
        <f t="shared" si="12"/>
        <v>8995196.7699999977</v>
      </c>
      <c r="G49" s="55">
        <f t="shared" si="13"/>
        <v>0</v>
      </c>
      <c r="H49" s="55">
        <f t="shared" si="14"/>
        <v>2677876.81</v>
      </c>
      <c r="I49" s="55">
        <f t="shared" si="15"/>
        <v>181007978.73798633</v>
      </c>
      <c r="J49" s="12">
        <f t="shared" si="6"/>
        <v>3.3097590458551117E-2</v>
      </c>
    </row>
    <row r="50" spans="1:10">
      <c r="A50">
        <v>2007</v>
      </c>
      <c r="B50" s="17" t="s">
        <v>702</v>
      </c>
      <c r="C50" s="55">
        <f t="shared" si="10"/>
        <v>-3309407.3700000076</v>
      </c>
      <c r="D50" s="55"/>
      <c r="E50" s="55">
        <f t="shared" si="11"/>
        <v>184602.9999999982</v>
      </c>
      <c r="F50" s="55">
        <f t="shared" si="12"/>
        <v>-2261695.4499999997</v>
      </c>
      <c r="G50" s="55">
        <f t="shared" si="13"/>
        <v>0</v>
      </c>
      <c r="H50" s="55">
        <f t="shared" si="14"/>
        <v>21092.893730756674</v>
      </c>
      <c r="I50" s="55">
        <f t="shared" si="15"/>
        <v>1276694.0249999987</v>
      </c>
      <c r="J50" s="12">
        <f t="shared" si="6"/>
        <v>0.14459455154103848</v>
      </c>
    </row>
    <row r="51" spans="1:10">
      <c r="A51">
        <v>2008</v>
      </c>
      <c r="B51" s="17" t="s">
        <v>591</v>
      </c>
      <c r="C51" s="55">
        <f t="shared" si="10"/>
        <v>1606283</v>
      </c>
      <c r="D51" s="55"/>
      <c r="E51" s="55">
        <f t="shared" si="11"/>
        <v>46731.76</v>
      </c>
      <c r="F51" s="55">
        <f t="shared" si="12"/>
        <v>93054.28</v>
      </c>
      <c r="G51" s="55">
        <f t="shared" si="13"/>
        <v>0</v>
      </c>
      <c r="H51" s="55">
        <f t="shared" si="14"/>
        <v>51194.34</v>
      </c>
      <c r="I51" s="55">
        <f t="shared" si="15"/>
        <v>1652810.14</v>
      </c>
      <c r="J51" s="12">
        <f t="shared" si="6"/>
        <v>2.827412469771029E-2</v>
      </c>
    </row>
    <row r="52" spans="1:10">
      <c r="A52">
        <v>2008</v>
      </c>
      <c r="B52" s="17" t="s">
        <v>549</v>
      </c>
      <c r="C52" s="55">
        <f t="shared" si="10"/>
        <v>10387584</v>
      </c>
      <c r="D52" s="55"/>
      <c r="E52" s="55">
        <f t="shared" si="11"/>
        <v>537475.30000000005</v>
      </c>
      <c r="F52" s="55">
        <f t="shared" si="12"/>
        <v>1870600.07</v>
      </c>
      <c r="G52" s="55">
        <f t="shared" si="13"/>
        <v>0</v>
      </c>
      <c r="H52" s="55">
        <f t="shared" si="14"/>
        <v>281053.71999999997</v>
      </c>
      <c r="I52" s="55">
        <f t="shared" si="15"/>
        <v>13114664.856917808</v>
      </c>
      <c r="J52" s="12">
        <f t="shared" si="6"/>
        <v>4.0982770498819807E-2</v>
      </c>
    </row>
    <row r="53" spans="1:10">
      <c r="A53">
        <v>2008</v>
      </c>
      <c r="B53" s="17" t="s">
        <v>711</v>
      </c>
      <c r="C53" s="55">
        <f t="shared" si="10"/>
        <v>0</v>
      </c>
      <c r="D53" s="55"/>
      <c r="E53" s="55">
        <f t="shared" si="11"/>
        <v>0</v>
      </c>
      <c r="F53" s="55">
        <f t="shared" si="12"/>
        <v>0</v>
      </c>
      <c r="G53" s="55">
        <f t="shared" si="13"/>
        <v>0</v>
      </c>
      <c r="H53" s="55">
        <f t="shared" si="14"/>
        <v>0</v>
      </c>
      <c r="I53" s="55">
        <f t="shared" si="15"/>
        <v>0</v>
      </c>
      <c r="J53" s="12" t="e">
        <f t="shared" si="6"/>
        <v>#N/A</v>
      </c>
    </row>
    <row r="54" spans="1:10">
      <c r="A54">
        <v>2008</v>
      </c>
      <c r="B54" s="17" t="s">
        <v>712</v>
      </c>
      <c r="C54" s="55">
        <f t="shared" si="10"/>
        <v>0</v>
      </c>
      <c r="D54" s="55"/>
      <c r="E54" s="55">
        <f t="shared" si="11"/>
        <v>0</v>
      </c>
      <c r="F54" s="55">
        <f t="shared" si="12"/>
        <v>0</v>
      </c>
      <c r="G54" s="55">
        <f t="shared" si="13"/>
        <v>0</v>
      </c>
      <c r="H54" s="55">
        <f t="shared" si="14"/>
        <v>0</v>
      </c>
      <c r="I54" s="55">
        <f t="shared" si="15"/>
        <v>0</v>
      </c>
      <c r="J54" s="12" t="e">
        <f t="shared" si="6"/>
        <v>#N/A</v>
      </c>
    </row>
    <row r="55" spans="1:10">
      <c r="A55">
        <v>2008</v>
      </c>
      <c r="B55" s="17" t="s">
        <v>551</v>
      </c>
      <c r="C55" s="55">
        <f t="shared" si="10"/>
        <v>203263953.67000002</v>
      </c>
      <c r="D55" s="55"/>
      <c r="E55" s="55">
        <f t="shared" si="11"/>
        <v>5952077.2700000014</v>
      </c>
      <c r="F55" s="55">
        <f t="shared" si="12"/>
        <v>10115315.229999999</v>
      </c>
      <c r="G55" s="55">
        <f t="shared" si="13"/>
        <v>0</v>
      </c>
      <c r="H55" s="55">
        <f t="shared" si="14"/>
        <v>1558039.8100000003</v>
      </c>
      <c r="I55" s="55">
        <f t="shared" si="15"/>
        <v>212527017.55072603</v>
      </c>
      <c r="J55" s="12">
        <f t="shared" si="6"/>
        <v>2.8006214638472294E-2</v>
      </c>
    </row>
    <row r="56" spans="1:10">
      <c r="A56">
        <v>2008</v>
      </c>
      <c r="B56" s="17" t="s">
        <v>702</v>
      </c>
      <c r="C56" s="55">
        <f t="shared" si="10"/>
        <v>381618.47999999451</v>
      </c>
      <c r="D56" s="55"/>
      <c r="E56" s="55">
        <f t="shared" si="11"/>
        <v>54850.430000000022</v>
      </c>
      <c r="F56" s="55">
        <f t="shared" si="12"/>
        <v>648972.32999999996</v>
      </c>
      <c r="G56" s="55">
        <f t="shared" si="13"/>
        <v>0</v>
      </c>
      <c r="H56" s="55">
        <f t="shared" si="14"/>
        <v>278.12120327194708</v>
      </c>
      <c r="I56" s="55">
        <f t="shared" si="15"/>
        <v>706106.24499999406</v>
      </c>
      <c r="J56" s="12">
        <f t="shared" si="6"/>
        <v>7.7680137215045422E-2</v>
      </c>
    </row>
    <row r="57" spans="1:10">
      <c r="A57">
        <v>2009</v>
      </c>
      <c r="B57" s="17" t="s">
        <v>591</v>
      </c>
      <c r="C57" s="55">
        <f t="shared" si="10"/>
        <v>1519614</v>
      </c>
      <c r="D57" s="55"/>
      <c r="E57" s="55">
        <f t="shared" si="11"/>
        <v>56219.89</v>
      </c>
      <c r="F57" s="55">
        <f t="shared" si="12"/>
        <v>86668.71</v>
      </c>
      <c r="G57" s="55">
        <f t="shared" si="13"/>
        <v>0</v>
      </c>
      <c r="H57" s="55">
        <f t="shared" si="14"/>
        <v>34307.21</v>
      </c>
      <c r="I57" s="55">
        <f t="shared" si="15"/>
        <v>1558666.3047123288</v>
      </c>
      <c r="J57" s="12">
        <f t="shared" si="6"/>
        <v>3.6069227794320015E-2</v>
      </c>
    </row>
    <row r="58" spans="1:10">
      <c r="A58">
        <v>2009</v>
      </c>
      <c r="B58" s="17" t="s">
        <v>549</v>
      </c>
      <c r="C58" s="55">
        <f t="shared" si="10"/>
        <v>17493066</v>
      </c>
      <c r="D58" s="55"/>
      <c r="E58" s="55">
        <f t="shared" si="11"/>
        <v>554397.88</v>
      </c>
      <c r="F58" s="55">
        <f t="shared" si="12"/>
        <v>1894519.21</v>
      </c>
      <c r="G58" s="55">
        <f t="shared" si="13"/>
        <v>6957.8799999999956</v>
      </c>
      <c r="H58" s="55">
        <f t="shared" si="14"/>
        <v>263258.34999999998</v>
      </c>
      <c r="I58" s="55">
        <f t="shared" si="15"/>
        <v>14381572.709986303</v>
      </c>
      <c r="J58" s="12">
        <f t="shared" si="6"/>
        <v>3.8549183123417104E-2</v>
      </c>
    </row>
    <row r="59" spans="1:10">
      <c r="A59">
        <v>2009</v>
      </c>
      <c r="B59" s="17" t="s">
        <v>711</v>
      </c>
      <c r="C59" s="55">
        <f t="shared" si="10"/>
        <v>0</v>
      </c>
      <c r="D59" s="55"/>
      <c r="E59" s="55">
        <f t="shared" si="11"/>
        <v>0</v>
      </c>
      <c r="F59" s="55">
        <f t="shared" si="12"/>
        <v>0</v>
      </c>
      <c r="G59" s="55">
        <f t="shared" si="13"/>
        <v>0</v>
      </c>
      <c r="H59" s="55">
        <f t="shared" si="14"/>
        <v>0</v>
      </c>
      <c r="I59" s="55">
        <f t="shared" si="15"/>
        <v>0</v>
      </c>
      <c r="J59" s="12" t="e">
        <f t="shared" ref="J59:J60" si="18">IF(I59=0,#N/A,E59/I59)</f>
        <v>#N/A</v>
      </c>
    </row>
    <row r="60" spans="1:10">
      <c r="A60">
        <v>2009</v>
      </c>
      <c r="B60" s="17" t="s">
        <v>712</v>
      </c>
      <c r="C60" s="55">
        <f t="shared" si="10"/>
        <v>4448712</v>
      </c>
      <c r="D60" s="55"/>
      <c r="E60" s="55">
        <f t="shared" si="11"/>
        <v>0</v>
      </c>
      <c r="F60" s="55">
        <f t="shared" si="12"/>
        <v>0</v>
      </c>
      <c r="G60" s="55">
        <f t="shared" si="13"/>
        <v>0</v>
      </c>
      <c r="H60" s="55">
        <f t="shared" si="14"/>
        <v>0</v>
      </c>
      <c r="I60" s="55">
        <f t="shared" si="15"/>
        <v>438777.07397260272</v>
      </c>
      <c r="J60" s="12">
        <f t="shared" si="18"/>
        <v>0</v>
      </c>
    </row>
    <row r="61" spans="1:10">
      <c r="A61">
        <v>2009</v>
      </c>
      <c r="B61" s="17" t="s">
        <v>551</v>
      </c>
      <c r="C61" s="55">
        <f t="shared" si="10"/>
        <v>185895883.19999999</v>
      </c>
      <c r="D61" s="55"/>
      <c r="E61" s="55">
        <f t="shared" si="11"/>
        <v>5545266.4700000016</v>
      </c>
      <c r="F61" s="55">
        <f t="shared" si="12"/>
        <v>9631940.7599999998</v>
      </c>
      <c r="G61" s="55">
        <f t="shared" si="13"/>
        <v>-1590.429999999993</v>
      </c>
      <c r="H61" s="55">
        <f t="shared" si="14"/>
        <v>2288828.48</v>
      </c>
      <c r="I61" s="55">
        <f t="shared" si="15"/>
        <v>193309990.91413701</v>
      </c>
      <c r="J61" s="12">
        <f t="shared" si="6"/>
        <v>2.8685876212487419E-2</v>
      </c>
    </row>
    <row r="62" spans="1:10">
      <c r="A62">
        <v>2010</v>
      </c>
      <c r="B62" s="17" t="s">
        <v>702</v>
      </c>
      <c r="C62" s="55">
        <f t="shared" si="10"/>
        <v>2.0400000077206641</v>
      </c>
      <c r="D62" s="55"/>
      <c r="E62" s="55">
        <f t="shared" si="11"/>
        <v>-50466.57173044153</v>
      </c>
      <c r="F62" s="55">
        <f t="shared" si="12"/>
        <v>-15715.530000000261</v>
      </c>
      <c r="G62" s="55">
        <f t="shared" si="13"/>
        <v>0</v>
      </c>
      <c r="H62" s="55">
        <f t="shared" si="14"/>
        <v>0</v>
      </c>
      <c r="I62" s="55">
        <f t="shared" si="15"/>
        <v>1.0800000003073364</v>
      </c>
      <c r="J62" s="12">
        <f t="shared" si="6"/>
        <v>-46728.307144518723</v>
      </c>
    </row>
    <row r="63" spans="1:10">
      <c r="A63">
        <v>2010</v>
      </c>
      <c r="B63" s="17" t="s">
        <v>591</v>
      </c>
      <c r="C63" s="55">
        <f t="shared" si="10"/>
        <v>1419246</v>
      </c>
      <c r="D63" s="55"/>
      <c r="E63" s="55">
        <f t="shared" si="11"/>
        <v>37990.35</v>
      </c>
      <c r="F63" s="55">
        <f t="shared" si="12"/>
        <v>100367.87</v>
      </c>
      <c r="G63" s="55">
        <f t="shared" si="13"/>
        <v>0</v>
      </c>
      <c r="H63" s="55">
        <f t="shared" si="14"/>
        <v>34659.69</v>
      </c>
      <c r="I63" s="55">
        <f t="shared" si="15"/>
        <v>1465404.099561644</v>
      </c>
      <c r="J63" s="12">
        <f t="shared" si="6"/>
        <v>2.5924828524339669E-2</v>
      </c>
    </row>
    <row r="64" spans="1:10">
      <c r="A64">
        <v>2010</v>
      </c>
      <c r="B64" s="17" t="s">
        <v>549</v>
      </c>
      <c r="C64" s="55">
        <f t="shared" si="10"/>
        <v>28180763</v>
      </c>
      <c r="D64" s="55"/>
      <c r="E64" s="55">
        <f t="shared" si="11"/>
        <v>584941.78173044149</v>
      </c>
      <c r="F64" s="55">
        <f t="shared" si="12"/>
        <v>2071159.87</v>
      </c>
      <c r="G64" s="55">
        <f t="shared" si="13"/>
        <v>0</v>
      </c>
      <c r="H64" s="55">
        <f t="shared" si="14"/>
        <v>255278.54043261037</v>
      </c>
      <c r="I64" s="55">
        <f t="shared" si="15"/>
        <v>28569500.720712326</v>
      </c>
      <c r="J64" s="12">
        <f t="shared" si="6"/>
        <v>2.0474343862312238E-2</v>
      </c>
    </row>
    <row r="65" spans="1:10">
      <c r="A65">
        <v>2010</v>
      </c>
      <c r="B65" s="17" t="s">
        <v>711</v>
      </c>
      <c r="C65" s="55">
        <f t="shared" si="10"/>
        <v>0</v>
      </c>
      <c r="D65" s="55"/>
      <c r="E65" s="55">
        <f t="shared" si="11"/>
        <v>0</v>
      </c>
      <c r="F65" s="55">
        <f t="shared" si="12"/>
        <v>0</v>
      </c>
      <c r="G65" s="55">
        <f t="shared" si="13"/>
        <v>0</v>
      </c>
      <c r="H65" s="55">
        <f t="shared" si="14"/>
        <v>0</v>
      </c>
      <c r="I65" s="55">
        <f t="shared" si="15"/>
        <v>0</v>
      </c>
      <c r="J65" s="12" t="e">
        <f t="shared" si="6"/>
        <v>#N/A</v>
      </c>
    </row>
    <row r="66" spans="1:10">
      <c r="A66">
        <v>2010</v>
      </c>
      <c r="B66" s="17" t="s">
        <v>712</v>
      </c>
      <c r="C66" s="55">
        <f t="shared" ref="C66:C97" si="19">SUMPRODUCT((annee_tous=$A66)*(categorie_tous=$B66),encours_tous)</f>
        <v>8615308</v>
      </c>
      <c r="D66" s="55"/>
      <c r="E66" s="55">
        <f t="shared" ref="E66:E97" si="20">SUMPRODUCT((annee_tous=$A66)*(categorie_tous=$B66),interet_tous)+SUMPRODUCT((annee_tous=$A66)*(categorie_tous=$B66),frais_tous)</f>
        <v>231589.29</v>
      </c>
      <c r="F66" s="55">
        <f t="shared" ref="F66:F97" si="21">SUMPRODUCT((annee_tous=$A66)*(categorie_tous=$B66),amortissement_tous)</f>
        <v>202793</v>
      </c>
      <c r="G66" s="55">
        <f t="shared" ref="G66:G97" si="22">SUMPRODUCT((annee_tous=$A66)*(categorie_tous=$B66),frais_tous)</f>
        <v>0</v>
      </c>
      <c r="H66" s="55">
        <f t="shared" ref="H66:H97" si="23">SUMPRODUCT((annee_tous=$A66)*(categorie_tous=$B66),ICNE_tous)</f>
        <v>0</v>
      </c>
      <c r="I66" s="55">
        <f t="shared" ref="I66:I97" si="24">SUMPRODUCT((annee_tous=$A66)*(categorie_tous=$B66),encours_moyen_tous)</f>
        <v>5147167.687671233</v>
      </c>
      <c r="J66" s="12">
        <f t="shared" si="6"/>
        <v>4.4993538981586874E-2</v>
      </c>
    </row>
    <row r="67" spans="1:10">
      <c r="A67">
        <v>2010</v>
      </c>
      <c r="B67" s="17" t="s">
        <v>551</v>
      </c>
      <c r="C67" s="55">
        <f t="shared" si="19"/>
        <v>172784989</v>
      </c>
      <c r="D67" s="55"/>
      <c r="E67" s="55">
        <f t="shared" si="20"/>
        <v>5351863.5600000005</v>
      </c>
      <c r="F67" s="55">
        <f t="shared" si="21"/>
        <v>8748359.2599999998</v>
      </c>
      <c r="G67" s="55">
        <f t="shared" si="22"/>
        <v>0</v>
      </c>
      <c r="H67" s="55">
        <f t="shared" si="23"/>
        <v>2325628.5099999998</v>
      </c>
      <c r="I67" s="55">
        <f t="shared" si="24"/>
        <v>179630685.81767124</v>
      </c>
      <c r="J67" s="12">
        <f t="shared" si="6"/>
        <v>2.9793704431058343E-2</v>
      </c>
    </row>
    <row r="68" spans="1:10">
      <c r="A68">
        <v>2011</v>
      </c>
      <c r="B68" s="17" t="s">
        <v>702</v>
      </c>
      <c r="C68" s="55">
        <f t="shared" si="19"/>
        <v>0</v>
      </c>
      <c r="D68" s="55"/>
      <c r="E68" s="55">
        <f t="shared" si="20"/>
        <v>0</v>
      </c>
      <c r="F68" s="55">
        <f t="shared" si="21"/>
        <v>0</v>
      </c>
      <c r="G68" s="55">
        <f t="shared" si="22"/>
        <v>0</v>
      </c>
      <c r="H68" s="55">
        <f t="shared" si="23"/>
        <v>0</v>
      </c>
      <c r="I68" s="55">
        <f t="shared" si="24"/>
        <v>0</v>
      </c>
      <c r="J68" s="12" t="e">
        <f t="shared" si="6"/>
        <v>#N/A</v>
      </c>
    </row>
    <row r="69" spans="1:10">
      <c r="A69">
        <v>2011</v>
      </c>
      <c r="B69" s="17" t="s">
        <v>591</v>
      </c>
      <c r="C69" s="55">
        <f t="shared" si="19"/>
        <v>1308888</v>
      </c>
      <c r="D69" s="55"/>
      <c r="E69" s="55">
        <f t="shared" si="20"/>
        <v>17740.57</v>
      </c>
      <c r="F69" s="55">
        <f t="shared" si="21"/>
        <v>110358.16</v>
      </c>
      <c r="G69" s="55">
        <f t="shared" si="22"/>
        <v>0</v>
      </c>
      <c r="H69" s="55">
        <f t="shared" si="23"/>
        <v>23882.720000000001</v>
      </c>
      <c r="I69" s="55">
        <f t="shared" si="24"/>
        <v>1360329.9099178084</v>
      </c>
      <c r="J69" s="12">
        <f t="shared" si="6"/>
        <v>1.3041373177681502E-2</v>
      </c>
    </row>
    <row r="70" spans="1:10">
      <c r="A70">
        <v>2011</v>
      </c>
      <c r="B70" s="17" t="s">
        <v>549</v>
      </c>
      <c r="C70" s="55">
        <f t="shared" si="19"/>
        <v>38731217</v>
      </c>
      <c r="D70" s="55"/>
      <c r="E70" s="55">
        <f t="shared" si="20"/>
        <v>828762.23</v>
      </c>
      <c r="F70" s="55">
        <f t="shared" si="21"/>
        <v>2049953.9</v>
      </c>
      <c r="G70" s="55">
        <f t="shared" si="22"/>
        <v>0</v>
      </c>
      <c r="H70" s="55">
        <f t="shared" si="23"/>
        <v>230733.33999999997</v>
      </c>
      <c r="I70" s="55">
        <f t="shared" si="24"/>
        <v>36961754.939041086</v>
      </c>
      <c r="J70" s="12">
        <f t="shared" si="6"/>
        <v>2.2422155857232166E-2</v>
      </c>
    </row>
    <row r="71" spans="1:10">
      <c r="A71">
        <v>2011</v>
      </c>
      <c r="B71" s="17" t="s">
        <v>711</v>
      </c>
      <c r="C71" s="55">
        <f t="shared" si="19"/>
        <v>0</v>
      </c>
      <c r="D71" s="55"/>
      <c r="E71" s="55">
        <f t="shared" si="20"/>
        <v>0</v>
      </c>
      <c r="F71" s="55">
        <f t="shared" si="21"/>
        <v>0</v>
      </c>
      <c r="G71" s="55">
        <f t="shared" si="22"/>
        <v>0</v>
      </c>
      <c r="H71" s="55">
        <f t="shared" si="23"/>
        <v>0</v>
      </c>
      <c r="I71" s="55">
        <f t="shared" si="24"/>
        <v>0</v>
      </c>
      <c r="J71" s="12" t="e">
        <f t="shared" ref="J71:J72" si="25">IF(I71=0,#N/A,E71/I71)</f>
        <v>#N/A</v>
      </c>
    </row>
    <row r="72" spans="1:10">
      <c r="A72">
        <v>2011</v>
      </c>
      <c r="B72" s="17" t="s">
        <v>712</v>
      </c>
      <c r="C72" s="55">
        <f t="shared" si="19"/>
        <v>8280581</v>
      </c>
      <c r="D72" s="55"/>
      <c r="E72" s="55">
        <f t="shared" si="20"/>
        <v>391585.2</v>
      </c>
      <c r="F72" s="55">
        <f t="shared" si="21"/>
        <v>334727.18</v>
      </c>
      <c r="G72" s="55">
        <f t="shared" si="22"/>
        <v>0</v>
      </c>
      <c r="H72" s="55">
        <f t="shared" si="23"/>
        <v>34299.71</v>
      </c>
      <c r="I72" s="55">
        <f t="shared" si="24"/>
        <v>8424799.5363287665</v>
      </c>
      <c r="J72" s="12">
        <f t="shared" si="25"/>
        <v>4.6480061431899561E-2</v>
      </c>
    </row>
    <row r="73" spans="1:10">
      <c r="A73">
        <v>2011</v>
      </c>
      <c r="B73" s="17" t="s">
        <v>551</v>
      </c>
      <c r="C73" s="55">
        <f t="shared" si="19"/>
        <v>163328968.48000002</v>
      </c>
      <c r="D73" s="55"/>
      <c r="E73" s="55">
        <f t="shared" si="20"/>
        <v>5949494.6999999993</v>
      </c>
      <c r="F73" s="55">
        <f t="shared" si="21"/>
        <v>8436217.2700000014</v>
      </c>
      <c r="G73" s="55">
        <f t="shared" si="22"/>
        <v>0</v>
      </c>
      <c r="H73" s="55">
        <f t="shared" si="23"/>
        <v>2519528.6499999994</v>
      </c>
      <c r="I73" s="55">
        <f t="shared" si="24"/>
        <v>167608950.57801372</v>
      </c>
      <c r="J73" s="12">
        <f t="shared" si="6"/>
        <v>3.549628274315101E-2</v>
      </c>
    </row>
    <row r="74" spans="1:10">
      <c r="A74">
        <v>2012</v>
      </c>
      <c r="B74" s="17" t="s">
        <v>702</v>
      </c>
      <c r="C74" s="55">
        <f t="shared" si="19"/>
        <v>0</v>
      </c>
      <c r="D74" s="55"/>
      <c r="E74" s="55">
        <f t="shared" si="20"/>
        <v>0</v>
      </c>
      <c r="F74" s="55">
        <f t="shared" si="21"/>
        <v>0</v>
      </c>
      <c r="G74" s="55">
        <f t="shared" si="22"/>
        <v>0</v>
      </c>
      <c r="H74" s="55">
        <f t="shared" si="23"/>
        <v>0</v>
      </c>
      <c r="I74" s="55">
        <f t="shared" si="24"/>
        <v>0</v>
      </c>
      <c r="J74" s="12" t="e">
        <f t="shared" si="6"/>
        <v>#N/A</v>
      </c>
    </row>
    <row r="75" spans="1:10">
      <c r="A75">
        <v>2012</v>
      </c>
      <c r="B75" s="17" t="s">
        <v>591</v>
      </c>
      <c r="C75" s="55">
        <f t="shared" si="19"/>
        <v>1201326</v>
      </c>
      <c r="D75" s="55"/>
      <c r="E75" s="55">
        <f t="shared" si="20"/>
        <v>27029.84</v>
      </c>
      <c r="F75" s="55">
        <f t="shared" si="21"/>
        <v>107859.06</v>
      </c>
      <c r="G75" s="55">
        <f t="shared" si="22"/>
        <v>0</v>
      </c>
      <c r="H75" s="55">
        <f t="shared" si="23"/>
        <v>14964.03</v>
      </c>
      <c r="I75" s="55">
        <f t="shared" si="24"/>
        <v>1255255.53</v>
      </c>
      <c r="J75" s="12">
        <f t="shared" si="6"/>
        <v>2.1533336722284746E-2</v>
      </c>
    </row>
    <row r="76" spans="1:10">
      <c r="A76">
        <v>2012</v>
      </c>
      <c r="B76" s="17" t="s">
        <v>549</v>
      </c>
      <c r="C76" s="55">
        <f t="shared" si="19"/>
        <v>71100091.519999996</v>
      </c>
      <c r="D76" s="55"/>
      <c r="E76" s="55">
        <f t="shared" si="20"/>
        <v>1129857.54</v>
      </c>
      <c r="F76" s="55">
        <f t="shared" si="21"/>
        <v>3245824.48</v>
      </c>
      <c r="G76" s="55">
        <f t="shared" si="22"/>
        <v>0</v>
      </c>
      <c r="H76" s="55">
        <f t="shared" si="23"/>
        <v>473004.00999999995</v>
      </c>
      <c r="I76" s="55">
        <f t="shared" si="24"/>
        <v>55853434.656671233</v>
      </c>
      <c r="J76" s="12">
        <f t="shared" si="6"/>
        <v>2.0228971538548846E-2</v>
      </c>
    </row>
    <row r="77" spans="1:10">
      <c r="A77">
        <v>2012</v>
      </c>
      <c r="B77" s="17" t="s">
        <v>711</v>
      </c>
      <c r="C77" s="55">
        <f t="shared" si="19"/>
        <v>0</v>
      </c>
      <c r="D77" s="55"/>
      <c r="E77" s="55">
        <f t="shared" si="20"/>
        <v>0</v>
      </c>
      <c r="F77" s="55">
        <f t="shared" si="21"/>
        <v>0</v>
      </c>
      <c r="G77" s="55">
        <f t="shared" si="22"/>
        <v>0</v>
      </c>
      <c r="H77" s="55">
        <f t="shared" si="23"/>
        <v>0</v>
      </c>
      <c r="I77" s="55">
        <f t="shared" si="24"/>
        <v>0</v>
      </c>
      <c r="J77" s="12" t="e">
        <f t="shared" si="6"/>
        <v>#N/A</v>
      </c>
    </row>
    <row r="78" spans="1:10">
      <c r="A78">
        <v>2012</v>
      </c>
      <c r="B78" s="17" t="s">
        <v>712</v>
      </c>
      <c r="C78" s="55">
        <f t="shared" si="19"/>
        <v>16222689</v>
      </c>
      <c r="D78" s="55"/>
      <c r="E78" s="55">
        <f t="shared" si="20"/>
        <v>794877.52</v>
      </c>
      <c r="F78" s="55">
        <f t="shared" si="21"/>
        <v>1024477.23</v>
      </c>
      <c r="G78" s="55">
        <f t="shared" si="22"/>
        <v>0</v>
      </c>
      <c r="H78" s="55">
        <f t="shared" si="23"/>
        <v>64008.240000000005</v>
      </c>
      <c r="I78" s="55">
        <f t="shared" si="24"/>
        <v>8822125.3436301369</v>
      </c>
      <c r="J78" s="12">
        <f t="shared" si="6"/>
        <v>9.0100456413706204E-2</v>
      </c>
    </row>
    <row r="79" spans="1:10">
      <c r="A79">
        <v>2012</v>
      </c>
      <c r="B79" s="17" t="s">
        <v>551</v>
      </c>
      <c r="C79" s="55">
        <f t="shared" si="19"/>
        <v>169171980.48000002</v>
      </c>
      <c r="D79" s="55"/>
      <c r="E79" s="55">
        <f t="shared" si="20"/>
        <v>10853915.07</v>
      </c>
      <c r="F79" s="55">
        <f t="shared" si="21"/>
        <v>9185941.7299999967</v>
      </c>
      <c r="G79" s="55">
        <f t="shared" si="22"/>
        <v>0</v>
      </c>
      <c r="H79" s="55">
        <f t="shared" si="23"/>
        <v>6306533.4400000013</v>
      </c>
      <c r="I79" s="55">
        <f t="shared" si="24"/>
        <v>173007492.13928771</v>
      </c>
      <c r="J79" s="12">
        <f t="shared" si="6"/>
        <v>6.2736676520699766E-2</v>
      </c>
    </row>
    <row r="80" spans="1:10">
      <c r="A80">
        <v>2013</v>
      </c>
      <c r="B80" s="17" t="s">
        <v>702</v>
      </c>
      <c r="C80" s="55">
        <f t="shared" si="19"/>
        <v>0</v>
      </c>
      <c r="D80" s="55"/>
      <c r="E80" s="55">
        <f t="shared" si="20"/>
        <v>0</v>
      </c>
      <c r="F80" s="55">
        <f t="shared" si="21"/>
        <v>0</v>
      </c>
      <c r="G80" s="55">
        <f t="shared" si="22"/>
        <v>0</v>
      </c>
      <c r="H80" s="55">
        <f t="shared" si="23"/>
        <v>0</v>
      </c>
      <c r="I80" s="55">
        <f t="shared" si="24"/>
        <v>0</v>
      </c>
      <c r="J80" s="12" t="e">
        <f t="shared" ref="J80:J115" si="26">IF(I80=0,#N/A,E80/I80)</f>
        <v>#N/A</v>
      </c>
    </row>
    <row r="81" spans="1:10">
      <c r="A81">
        <v>2013</v>
      </c>
      <c r="B81" s="17" t="s">
        <v>591</v>
      </c>
      <c r="C81" s="55">
        <f t="shared" si="19"/>
        <v>1092861</v>
      </c>
      <c r="D81" s="55"/>
      <c r="E81" s="55">
        <f t="shared" si="20"/>
        <v>27029.84</v>
      </c>
      <c r="F81" s="55">
        <f t="shared" si="21"/>
        <v>108464.95</v>
      </c>
      <c r="G81" s="55">
        <f t="shared" si="22"/>
        <v>0</v>
      </c>
      <c r="H81" s="55">
        <f t="shared" si="23"/>
        <v>17448.349999999999</v>
      </c>
      <c r="I81" s="55">
        <f t="shared" si="24"/>
        <v>1143950.753150685</v>
      </c>
      <c r="J81" s="12">
        <f t="shared" si="26"/>
        <v>2.3628499675841848E-2</v>
      </c>
    </row>
    <row r="82" spans="1:10">
      <c r="A82">
        <v>2013</v>
      </c>
      <c r="B82" s="17" t="s">
        <v>549</v>
      </c>
      <c r="C82" s="55">
        <f t="shared" si="19"/>
        <v>89944268</v>
      </c>
      <c r="D82" s="55"/>
      <c r="E82" s="55">
        <f t="shared" si="20"/>
        <v>1383943.6800000002</v>
      </c>
      <c r="F82" s="55">
        <f t="shared" si="21"/>
        <v>3302754.0300000003</v>
      </c>
      <c r="G82" s="55">
        <f t="shared" si="22"/>
        <v>-13112.33</v>
      </c>
      <c r="H82" s="55">
        <f t="shared" si="23"/>
        <v>370675.02</v>
      </c>
      <c r="I82" s="55">
        <f t="shared" si="24"/>
        <v>66837723.40526028</v>
      </c>
      <c r="J82" s="12">
        <f t="shared" si="26"/>
        <v>2.0706026619259157E-2</v>
      </c>
    </row>
    <row r="83" spans="1:10">
      <c r="A83">
        <v>2013</v>
      </c>
      <c r="B83" s="17" t="s">
        <v>711</v>
      </c>
      <c r="C83" s="55">
        <f t="shared" si="19"/>
        <v>0</v>
      </c>
      <c r="D83" s="55"/>
      <c r="E83" s="55">
        <f t="shared" si="20"/>
        <v>0</v>
      </c>
      <c r="F83" s="55">
        <f t="shared" si="21"/>
        <v>0</v>
      </c>
      <c r="G83" s="55">
        <f t="shared" si="22"/>
        <v>0</v>
      </c>
      <c r="H83" s="55">
        <f t="shared" si="23"/>
        <v>0</v>
      </c>
      <c r="I83" s="55">
        <f t="shared" si="24"/>
        <v>0</v>
      </c>
      <c r="J83" s="12" t="e">
        <f t="shared" si="26"/>
        <v>#N/A</v>
      </c>
    </row>
    <row r="84" spans="1:10">
      <c r="A84">
        <v>2013</v>
      </c>
      <c r="B84" s="17" t="s">
        <v>712</v>
      </c>
      <c r="C84" s="55">
        <f t="shared" si="19"/>
        <v>35871784</v>
      </c>
      <c r="D84" s="55"/>
      <c r="E84" s="55">
        <f t="shared" si="20"/>
        <v>930236.93</v>
      </c>
      <c r="F84" s="55">
        <f t="shared" si="21"/>
        <v>1114880.02</v>
      </c>
      <c r="G84" s="55">
        <f t="shared" si="22"/>
        <v>0</v>
      </c>
      <c r="H84" s="55">
        <f t="shared" si="23"/>
        <v>574012.28</v>
      </c>
      <c r="I84" s="55">
        <f t="shared" si="24"/>
        <v>28811904.810726032</v>
      </c>
      <c r="J84" s="12">
        <f t="shared" si="26"/>
        <v>3.2286547387651146E-2</v>
      </c>
    </row>
    <row r="85" spans="1:10">
      <c r="A85">
        <v>2013</v>
      </c>
      <c r="B85" s="17" t="s">
        <v>551</v>
      </c>
      <c r="C85" s="55">
        <f t="shared" si="19"/>
        <v>144800395</v>
      </c>
      <c r="D85" s="55"/>
      <c r="E85" s="55">
        <f t="shared" si="20"/>
        <v>5886562.0700000003</v>
      </c>
      <c r="F85" s="55">
        <f t="shared" si="21"/>
        <v>6972371.0599999996</v>
      </c>
      <c r="G85" s="55">
        <f t="shared" si="22"/>
        <v>0</v>
      </c>
      <c r="H85" s="55">
        <f t="shared" si="23"/>
        <v>2898953.83</v>
      </c>
      <c r="I85" s="55">
        <f t="shared" si="24"/>
        <v>150808242.11338356</v>
      </c>
      <c r="J85" s="12">
        <f t="shared" si="26"/>
        <v>3.903342408549694E-2</v>
      </c>
    </row>
    <row r="86" spans="1:10">
      <c r="A86">
        <v>2014</v>
      </c>
      <c r="B86" s="17" t="s">
        <v>702</v>
      </c>
      <c r="C86" s="55">
        <f t="shared" si="19"/>
        <v>0</v>
      </c>
      <c r="D86" s="55"/>
      <c r="E86" s="55">
        <f t="shared" si="20"/>
        <v>0</v>
      </c>
      <c r="F86" s="55">
        <f t="shared" si="21"/>
        <v>0</v>
      </c>
      <c r="G86" s="55">
        <f t="shared" si="22"/>
        <v>0</v>
      </c>
      <c r="H86" s="55">
        <f t="shared" si="23"/>
        <v>0</v>
      </c>
      <c r="I86" s="55">
        <f t="shared" si="24"/>
        <v>0</v>
      </c>
      <c r="J86" s="12" t="e">
        <f t="shared" si="26"/>
        <v>#N/A</v>
      </c>
    </row>
    <row r="87" spans="1:10">
      <c r="A87">
        <v>2014</v>
      </c>
      <c r="B87" s="17" t="s">
        <v>591</v>
      </c>
      <c r="C87" s="55">
        <f t="shared" si="19"/>
        <v>979687</v>
      </c>
      <c r="D87" s="55"/>
      <c r="E87" s="55">
        <f t="shared" si="20"/>
        <v>19125.07</v>
      </c>
      <c r="F87" s="55">
        <f t="shared" si="21"/>
        <v>113174.66</v>
      </c>
      <c r="G87" s="55">
        <f t="shared" si="22"/>
        <v>0</v>
      </c>
      <c r="H87" s="55">
        <f t="shared" si="23"/>
        <v>11172.45</v>
      </c>
      <c r="I87" s="55">
        <f t="shared" si="24"/>
        <v>1033435.2222465753</v>
      </c>
      <c r="J87" s="12">
        <f t="shared" si="26"/>
        <v>1.850630749591076E-2</v>
      </c>
    </row>
    <row r="88" spans="1:10">
      <c r="A88">
        <v>2014</v>
      </c>
      <c r="B88" s="17" t="s">
        <v>549</v>
      </c>
      <c r="C88" s="55">
        <f t="shared" si="19"/>
        <v>96066501</v>
      </c>
      <c r="D88" s="55"/>
      <c r="E88" s="55">
        <f t="shared" si="20"/>
        <v>2356587.2600000002</v>
      </c>
      <c r="F88" s="55">
        <f t="shared" si="21"/>
        <v>3877825.3100000005</v>
      </c>
      <c r="G88" s="55">
        <f t="shared" si="22"/>
        <v>-108406.91</v>
      </c>
      <c r="H88" s="55">
        <f t="shared" si="23"/>
        <v>624725.61</v>
      </c>
      <c r="I88" s="55">
        <f t="shared" si="24"/>
        <v>78333287.130246565</v>
      </c>
      <c r="J88" s="12">
        <f t="shared" si="26"/>
        <v>3.0084110425260824E-2</v>
      </c>
    </row>
    <row r="89" spans="1:10">
      <c r="A89">
        <v>2014</v>
      </c>
      <c r="B89" s="17" t="s">
        <v>711</v>
      </c>
      <c r="C89" s="55">
        <f t="shared" si="19"/>
        <v>37514615</v>
      </c>
      <c r="D89" s="55"/>
      <c r="E89" s="55">
        <f t="shared" si="20"/>
        <v>0</v>
      </c>
      <c r="F89" s="55">
        <f t="shared" si="21"/>
        <v>0</v>
      </c>
      <c r="G89" s="55">
        <f t="shared" si="22"/>
        <v>0</v>
      </c>
      <c r="H89" s="55">
        <f t="shared" si="23"/>
        <v>1187420.94</v>
      </c>
      <c r="I89" s="55">
        <f t="shared" si="24"/>
        <v>25078263.178082194</v>
      </c>
      <c r="J89" s="12">
        <f t="shared" ref="J89:J90" si="27">IF(I89=0,#N/A,E89/I89)</f>
        <v>0</v>
      </c>
    </row>
    <row r="90" spans="1:10">
      <c r="A90">
        <v>2014</v>
      </c>
      <c r="B90" s="17" t="s">
        <v>712</v>
      </c>
      <c r="C90" s="55">
        <f t="shared" si="19"/>
        <v>67684981</v>
      </c>
      <c r="D90" s="55"/>
      <c r="E90" s="55">
        <f t="shared" si="20"/>
        <v>2681866.83</v>
      </c>
      <c r="F90" s="55">
        <f t="shared" si="21"/>
        <v>2758368.37</v>
      </c>
      <c r="G90" s="55">
        <f t="shared" si="22"/>
        <v>0</v>
      </c>
      <c r="H90" s="55">
        <f t="shared" si="23"/>
        <v>1158912.67</v>
      </c>
      <c r="I90" s="55">
        <f t="shared" si="24"/>
        <v>66732939.423178092</v>
      </c>
      <c r="J90" s="12">
        <f t="shared" si="27"/>
        <v>4.0188051855370811E-2</v>
      </c>
    </row>
    <row r="91" spans="1:10">
      <c r="A91">
        <v>2014</v>
      </c>
      <c r="B91" s="17" t="s">
        <v>551</v>
      </c>
      <c r="C91" s="55">
        <f t="shared" si="19"/>
        <v>102890996</v>
      </c>
      <c r="D91" s="55"/>
      <c r="E91" s="55">
        <f t="shared" si="20"/>
        <v>5937172.2699999996</v>
      </c>
      <c r="F91" s="55">
        <f t="shared" si="21"/>
        <v>6153217.3999999994</v>
      </c>
      <c r="G91" s="55">
        <f t="shared" si="22"/>
        <v>0</v>
      </c>
      <c r="H91" s="55">
        <f t="shared" si="23"/>
        <v>1956071.5399999998</v>
      </c>
      <c r="I91" s="55">
        <f t="shared" si="24"/>
        <v>108993588.56997262</v>
      </c>
      <c r="J91" s="12">
        <f t="shared" si="26"/>
        <v>5.447267447468622E-2</v>
      </c>
    </row>
    <row r="92" spans="1:10">
      <c r="A92">
        <v>2015</v>
      </c>
      <c r="B92" s="17" t="s">
        <v>702</v>
      </c>
      <c r="C92" s="55">
        <f t="shared" si="19"/>
        <v>0</v>
      </c>
      <c r="D92" s="55"/>
      <c r="E92" s="55">
        <f t="shared" si="20"/>
        <v>0</v>
      </c>
      <c r="F92" s="55">
        <f t="shared" si="21"/>
        <v>0</v>
      </c>
      <c r="G92" s="55">
        <f t="shared" si="22"/>
        <v>0</v>
      </c>
      <c r="H92" s="55">
        <f t="shared" si="23"/>
        <v>0</v>
      </c>
      <c r="I92" s="55">
        <f t="shared" si="24"/>
        <v>0</v>
      </c>
      <c r="J92" s="12" t="e">
        <f t="shared" si="26"/>
        <v>#N/A</v>
      </c>
    </row>
    <row r="93" spans="1:10">
      <c r="A93">
        <v>2015</v>
      </c>
      <c r="B93" s="17" t="s">
        <v>591</v>
      </c>
      <c r="C93" s="55">
        <f t="shared" si="19"/>
        <v>862484</v>
      </c>
      <c r="D93" s="55"/>
      <c r="E93" s="55">
        <f t="shared" si="20"/>
        <v>12246.08</v>
      </c>
      <c r="F93" s="55">
        <f t="shared" si="21"/>
        <v>117202.97</v>
      </c>
      <c r="G93" s="55">
        <f t="shared" si="22"/>
        <v>0</v>
      </c>
      <c r="H93" s="55">
        <f t="shared" si="23"/>
        <v>7868.69</v>
      </c>
      <c r="I93" s="55">
        <f t="shared" si="24"/>
        <v>918561.96312328766</v>
      </c>
      <c r="J93" s="12">
        <f t="shared" si="26"/>
        <v>1.3331795231713022E-2</v>
      </c>
    </row>
    <row r="94" spans="1:10">
      <c r="A94">
        <v>2015</v>
      </c>
      <c r="B94" s="17" t="s">
        <v>549</v>
      </c>
      <c r="C94" s="55">
        <f t="shared" si="19"/>
        <v>100825449</v>
      </c>
      <c r="D94" s="55"/>
      <c r="E94" s="55">
        <f t="shared" si="20"/>
        <v>3151956.79</v>
      </c>
      <c r="F94" s="55">
        <f t="shared" si="21"/>
        <v>5241052.59</v>
      </c>
      <c r="G94" s="55">
        <f t="shared" si="22"/>
        <v>0</v>
      </c>
      <c r="H94" s="55">
        <f t="shared" si="23"/>
        <v>778827.74999999988</v>
      </c>
      <c r="I94" s="55">
        <f t="shared" si="24"/>
        <v>102573520.56816438</v>
      </c>
      <c r="J94" s="12">
        <f t="shared" si="26"/>
        <v>3.072875701780552E-2</v>
      </c>
    </row>
    <row r="95" spans="1:10">
      <c r="A95">
        <v>2015</v>
      </c>
      <c r="B95" s="17" t="s">
        <v>711</v>
      </c>
      <c r="C95" s="55">
        <f t="shared" si="19"/>
        <v>54024349</v>
      </c>
      <c r="D95" s="55"/>
      <c r="E95" s="55">
        <f t="shared" si="20"/>
        <v>1776264.93</v>
      </c>
      <c r="F95" s="55">
        <f t="shared" si="21"/>
        <v>1251406.26</v>
      </c>
      <c r="G95" s="55">
        <f t="shared" si="22"/>
        <v>0</v>
      </c>
      <c r="H95" s="55">
        <f t="shared" si="23"/>
        <v>1564329.6199999999</v>
      </c>
      <c r="I95" s="55">
        <f t="shared" si="24"/>
        <v>48661047.05567123</v>
      </c>
      <c r="J95" s="12">
        <f t="shared" si="26"/>
        <v>3.6502809484716667E-2</v>
      </c>
    </row>
    <row r="96" spans="1:10">
      <c r="A96">
        <v>2015</v>
      </c>
      <c r="B96" s="17" t="s">
        <v>712</v>
      </c>
      <c r="C96" s="55">
        <f t="shared" si="19"/>
        <v>73397539</v>
      </c>
      <c r="D96" s="55"/>
      <c r="E96" s="55">
        <f t="shared" si="20"/>
        <v>3553237.7500000005</v>
      </c>
      <c r="F96" s="55">
        <f t="shared" si="21"/>
        <v>3287441.17</v>
      </c>
      <c r="G96" s="55">
        <f t="shared" si="22"/>
        <v>0</v>
      </c>
      <c r="H96" s="55">
        <f t="shared" si="23"/>
        <v>850769.65</v>
      </c>
      <c r="I96" s="55">
        <f t="shared" si="24"/>
        <v>66600050.654630139</v>
      </c>
      <c r="J96" s="12">
        <f t="shared" si="26"/>
        <v>5.3351877589795406E-2</v>
      </c>
    </row>
    <row r="97" spans="1:10">
      <c r="A97">
        <v>2015</v>
      </c>
      <c r="B97" s="17" t="s">
        <v>551</v>
      </c>
      <c r="C97" s="55">
        <f t="shared" si="19"/>
        <v>87928865</v>
      </c>
      <c r="D97" s="55"/>
      <c r="E97" s="55">
        <f t="shared" si="20"/>
        <v>3575681.8099999996</v>
      </c>
      <c r="F97" s="55">
        <f t="shared" si="21"/>
        <v>5550991.25</v>
      </c>
      <c r="G97" s="55">
        <f t="shared" si="22"/>
        <v>0</v>
      </c>
      <c r="H97" s="55">
        <f t="shared" si="23"/>
        <v>1693789.05</v>
      </c>
      <c r="I97" s="55">
        <f t="shared" si="24"/>
        <v>93803430.772109583</v>
      </c>
      <c r="J97" s="12">
        <f t="shared" si="26"/>
        <v>3.8118880946763314E-2</v>
      </c>
    </row>
    <row r="98" spans="1:10">
      <c r="A98">
        <v>2016</v>
      </c>
      <c r="B98" s="17" t="s">
        <v>702</v>
      </c>
      <c r="C98" s="55">
        <f t="shared" ref="C98:C115" si="28">SUMPRODUCT((annee_tous=$A98)*(categorie_tous=$B98),encours_tous)</f>
        <v>0</v>
      </c>
      <c r="D98" s="55"/>
      <c r="E98" s="55">
        <f t="shared" ref="E98:E115" si="29">SUMPRODUCT((annee_tous=$A98)*(categorie_tous=$B98),interet_tous)+SUMPRODUCT((annee_tous=$A98)*(categorie_tous=$B98),frais_tous)</f>
        <v>0</v>
      </c>
      <c r="F98" s="55">
        <f t="shared" ref="F98:F115" si="30">SUMPRODUCT((annee_tous=$A98)*(categorie_tous=$B98),amortissement_tous)</f>
        <v>0</v>
      </c>
      <c r="G98" s="55">
        <f t="shared" ref="G98:G115" si="31">SUMPRODUCT((annee_tous=$A98)*(categorie_tous=$B98),frais_tous)</f>
        <v>0</v>
      </c>
      <c r="H98" s="55">
        <f t="shared" ref="H98:H115" si="32">SUMPRODUCT((annee_tous=$A98)*(categorie_tous=$B98),ICNE_tous)</f>
        <v>0</v>
      </c>
      <c r="I98" s="55">
        <f t="shared" ref="I98:I115" si="33">SUMPRODUCT((annee_tous=$A98)*(categorie_tous=$B98),encours_moyen_tous)</f>
        <v>0</v>
      </c>
      <c r="J98" s="12" t="e">
        <f t="shared" si="26"/>
        <v>#N/A</v>
      </c>
    </row>
    <row r="99" spans="1:10">
      <c r="A99">
        <v>2016</v>
      </c>
      <c r="B99" s="17" t="s">
        <v>591</v>
      </c>
      <c r="C99" s="55">
        <f t="shared" si="28"/>
        <v>5295002</v>
      </c>
      <c r="D99" s="55"/>
      <c r="E99" s="55">
        <f t="shared" si="29"/>
        <v>61288.020000000004</v>
      </c>
      <c r="F99" s="55">
        <f t="shared" si="30"/>
        <v>359147.94</v>
      </c>
      <c r="G99" s="55">
        <f t="shared" si="31"/>
        <v>0</v>
      </c>
      <c r="H99" s="55">
        <f t="shared" si="32"/>
        <v>21878.6</v>
      </c>
      <c r="I99" s="55">
        <f t="shared" si="33"/>
        <v>5474575.9699999997</v>
      </c>
      <c r="J99" s="12">
        <f t="shared" si="26"/>
        <v>1.1195025940977125E-2</v>
      </c>
    </row>
    <row r="100" spans="1:10">
      <c r="A100">
        <v>2016</v>
      </c>
      <c r="B100" s="17" t="s">
        <v>549</v>
      </c>
      <c r="C100" s="55">
        <f t="shared" si="28"/>
        <v>112926101</v>
      </c>
      <c r="D100" s="55"/>
      <c r="E100" s="55">
        <f t="shared" si="29"/>
        <v>3160340.8000000003</v>
      </c>
      <c r="F100" s="55">
        <f t="shared" si="30"/>
        <v>17899347.639999997</v>
      </c>
      <c r="G100" s="55">
        <f t="shared" si="31"/>
        <v>-84354.21</v>
      </c>
      <c r="H100" s="55">
        <f t="shared" si="32"/>
        <v>809653.43</v>
      </c>
      <c r="I100" s="55">
        <f t="shared" si="33"/>
        <v>104372872.14052056</v>
      </c>
      <c r="J100" s="12">
        <f t="shared" si="26"/>
        <v>3.0279331546468623E-2</v>
      </c>
    </row>
    <row r="101" spans="1:10">
      <c r="A101">
        <v>2016</v>
      </c>
      <c r="B101" s="17" t="s">
        <v>711</v>
      </c>
      <c r="C101" s="55">
        <f t="shared" si="28"/>
        <v>71556479</v>
      </c>
      <c r="D101" s="55"/>
      <c r="E101" s="55">
        <f t="shared" si="29"/>
        <v>2369163.84</v>
      </c>
      <c r="F101" s="55">
        <f t="shared" si="30"/>
        <v>2058252.45</v>
      </c>
      <c r="G101" s="55">
        <f t="shared" si="31"/>
        <v>0</v>
      </c>
      <c r="H101" s="55">
        <f t="shared" si="32"/>
        <v>1637705.95</v>
      </c>
      <c r="I101" s="55">
        <f t="shared" si="33"/>
        <v>57166368.894178078</v>
      </c>
      <c r="J101" s="12">
        <f t="shared" ref="J101:J102" si="34">IF(I101=0,#N/A,E101/I101)</f>
        <v>4.1443315113919708E-2</v>
      </c>
    </row>
    <row r="102" spans="1:10">
      <c r="A102">
        <v>2016</v>
      </c>
      <c r="B102" s="17" t="s">
        <v>712</v>
      </c>
      <c r="C102" s="55">
        <f t="shared" si="28"/>
        <v>69795506</v>
      </c>
      <c r="D102" s="55"/>
      <c r="E102" s="55">
        <f t="shared" si="29"/>
        <v>3404255.32</v>
      </c>
      <c r="F102" s="55">
        <f t="shared" si="30"/>
        <v>3602034</v>
      </c>
      <c r="G102" s="55">
        <f t="shared" si="31"/>
        <v>0</v>
      </c>
      <c r="H102" s="55">
        <f t="shared" si="32"/>
        <v>808214.18</v>
      </c>
      <c r="I102" s="55">
        <f t="shared" si="33"/>
        <v>71596523</v>
      </c>
      <c r="J102" s="12">
        <f t="shared" si="34"/>
        <v>4.7547774352114831E-2</v>
      </c>
    </row>
    <row r="103" spans="1:10">
      <c r="A103">
        <v>2016</v>
      </c>
      <c r="B103" s="17" t="s">
        <v>551</v>
      </c>
      <c r="C103" s="55">
        <f t="shared" si="28"/>
        <v>67358653</v>
      </c>
      <c r="D103" s="55"/>
      <c r="E103" s="55">
        <f t="shared" si="29"/>
        <v>3137721.0700000003</v>
      </c>
      <c r="F103" s="55">
        <f t="shared" si="30"/>
        <v>5179920.4799999995</v>
      </c>
      <c r="G103" s="55">
        <f t="shared" si="31"/>
        <v>0</v>
      </c>
      <c r="H103" s="55">
        <f t="shared" si="32"/>
        <v>1313621.53</v>
      </c>
      <c r="I103" s="55">
        <f t="shared" si="33"/>
        <v>81822284.921164393</v>
      </c>
      <c r="J103" s="12">
        <f t="shared" si="26"/>
        <v>3.8348001073585124E-2</v>
      </c>
    </row>
    <row r="104" spans="1:10">
      <c r="A104">
        <v>2017</v>
      </c>
      <c r="B104" s="17" t="s">
        <v>702</v>
      </c>
      <c r="C104" s="55">
        <f t="shared" si="28"/>
        <v>0</v>
      </c>
      <c r="D104" s="55"/>
      <c r="E104" s="55">
        <f t="shared" si="29"/>
        <v>0</v>
      </c>
      <c r="F104" s="55">
        <f t="shared" si="30"/>
        <v>0</v>
      </c>
      <c r="G104" s="55">
        <f t="shared" si="31"/>
        <v>0</v>
      </c>
      <c r="H104" s="55">
        <f t="shared" si="32"/>
        <v>0</v>
      </c>
      <c r="I104" s="55">
        <f t="shared" si="33"/>
        <v>0</v>
      </c>
      <c r="J104" s="12" t="e">
        <f t="shared" si="26"/>
        <v>#N/A</v>
      </c>
    </row>
    <row r="105" spans="1:10">
      <c r="A105">
        <v>2017</v>
      </c>
      <c r="B105" s="17" t="s">
        <v>591</v>
      </c>
      <c r="C105" s="55">
        <f t="shared" si="28"/>
        <v>4854039</v>
      </c>
      <c r="D105" s="55"/>
      <c r="E105" s="55">
        <f t="shared" si="29"/>
        <v>71685.53</v>
      </c>
      <c r="F105" s="55">
        <f t="shared" si="30"/>
        <v>440962.88</v>
      </c>
      <c r="G105" s="55">
        <f t="shared" si="31"/>
        <v>0</v>
      </c>
      <c r="H105" s="55">
        <f t="shared" si="32"/>
        <v>19867.690000000002</v>
      </c>
      <c r="I105" s="55">
        <f t="shared" si="33"/>
        <v>5060617.6442739721</v>
      </c>
      <c r="J105" s="12">
        <f t="shared" si="26"/>
        <v>1.4165371707366849E-2</v>
      </c>
    </row>
    <row r="106" spans="1:10">
      <c r="A106">
        <v>2017</v>
      </c>
      <c r="B106" s="17" t="s">
        <v>549</v>
      </c>
      <c r="C106" s="55">
        <f t="shared" si="28"/>
        <v>126850439</v>
      </c>
      <c r="D106" s="55"/>
      <c r="E106" s="55">
        <f t="shared" si="29"/>
        <v>3678064.55</v>
      </c>
      <c r="F106" s="55">
        <f t="shared" si="30"/>
        <v>6075662.0399999991</v>
      </c>
      <c r="G106" s="55">
        <f t="shared" si="31"/>
        <v>71124.52</v>
      </c>
      <c r="H106" s="55">
        <f t="shared" si="32"/>
        <v>871975.7300000001</v>
      </c>
      <c r="I106" s="55">
        <f t="shared" si="33"/>
        <v>112874877.49939726</v>
      </c>
      <c r="J106" s="12">
        <f t="shared" si="26"/>
        <v>3.2585324843605171E-2</v>
      </c>
    </row>
    <row r="107" spans="1:10">
      <c r="A107">
        <v>2017</v>
      </c>
      <c r="B107" s="17" t="s">
        <v>711</v>
      </c>
      <c r="C107" s="55">
        <f t="shared" si="28"/>
        <v>88762006</v>
      </c>
      <c r="D107" s="55"/>
      <c r="E107" s="55">
        <f t="shared" si="29"/>
        <v>2848889.54</v>
      </c>
      <c r="F107" s="55">
        <f t="shared" si="30"/>
        <v>2674754.7600000002</v>
      </c>
      <c r="G107" s="55">
        <f t="shared" si="31"/>
        <v>0</v>
      </c>
      <c r="H107" s="55">
        <f t="shared" si="32"/>
        <v>1797654.8200000003</v>
      </c>
      <c r="I107" s="55">
        <f t="shared" si="33"/>
        <v>73294711.841972604</v>
      </c>
      <c r="J107" s="12">
        <f t="shared" si="26"/>
        <v>3.886896432777253E-2</v>
      </c>
    </row>
    <row r="108" spans="1:10">
      <c r="A108">
        <v>2017</v>
      </c>
      <c r="B108" s="17" t="s">
        <v>712</v>
      </c>
      <c r="C108" s="55">
        <f t="shared" si="28"/>
        <v>66051957</v>
      </c>
      <c r="D108" s="55"/>
      <c r="E108" s="55">
        <f t="shared" si="29"/>
        <v>3222868.52</v>
      </c>
      <c r="F108" s="55">
        <f t="shared" si="30"/>
        <v>3743549.66</v>
      </c>
      <c r="G108" s="55">
        <f t="shared" si="31"/>
        <v>0</v>
      </c>
      <c r="H108" s="55">
        <f t="shared" si="32"/>
        <v>763419.33</v>
      </c>
      <c r="I108" s="55">
        <f t="shared" si="33"/>
        <v>67737639.414027393</v>
      </c>
      <c r="J108" s="12">
        <f t="shared" ref="J108" si="35">IF(I108=0,#N/A,E108/I108)</f>
        <v>4.757869550636562E-2</v>
      </c>
    </row>
    <row r="109" spans="1:10">
      <c r="A109">
        <v>2017</v>
      </c>
      <c r="B109" s="17" t="s">
        <v>551</v>
      </c>
      <c r="C109" s="55">
        <f t="shared" si="28"/>
        <v>45970173</v>
      </c>
      <c r="D109" s="55"/>
      <c r="E109" s="55">
        <f t="shared" si="29"/>
        <v>2304883.13</v>
      </c>
      <c r="F109" s="55">
        <f t="shared" si="30"/>
        <v>4708106.3599999994</v>
      </c>
      <c r="G109" s="55">
        <f t="shared" si="31"/>
        <v>0</v>
      </c>
      <c r="H109" s="55">
        <f t="shared" si="32"/>
        <v>1416311.76</v>
      </c>
      <c r="I109" s="55">
        <f t="shared" si="33"/>
        <v>61616894.152876705</v>
      </c>
      <c r="J109" s="12">
        <f t="shared" si="26"/>
        <v>3.7406674933686053E-2</v>
      </c>
    </row>
    <row r="110" spans="1:10">
      <c r="A110">
        <v>2018</v>
      </c>
      <c r="B110" s="17" t="s">
        <v>702</v>
      </c>
      <c r="C110" s="55">
        <f t="shared" si="28"/>
        <v>0</v>
      </c>
      <c r="D110" s="55"/>
      <c r="E110" s="55">
        <f t="shared" si="29"/>
        <v>0</v>
      </c>
      <c r="F110" s="55">
        <f t="shared" si="30"/>
        <v>0</v>
      </c>
      <c r="G110" s="55">
        <f t="shared" si="31"/>
        <v>0</v>
      </c>
      <c r="H110" s="55">
        <f t="shared" si="32"/>
        <v>0</v>
      </c>
      <c r="I110" s="55">
        <f t="shared" si="33"/>
        <v>0</v>
      </c>
      <c r="J110" s="12" t="e">
        <f t="shared" si="26"/>
        <v>#N/A</v>
      </c>
    </row>
    <row r="111" spans="1:10">
      <c r="A111">
        <v>2018</v>
      </c>
      <c r="B111" s="17" t="s">
        <v>591</v>
      </c>
      <c r="C111" s="55">
        <f t="shared" si="28"/>
        <v>4412165</v>
      </c>
      <c r="D111" s="55"/>
      <c r="E111" s="55">
        <f t="shared" si="29"/>
        <v>66009.2</v>
      </c>
      <c r="F111" s="55">
        <f t="shared" si="30"/>
        <v>441874.27</v>
      </c>
      <c r="G111" s="55">
        <f t="shared" si="31"/>
        <v>0</v>
      </c>
      <c r="H111" s="55">
        <f t="shared" si="32"/>
        <v>17850.54</v>
      </c>
      <c r="I111" s="55">
        <f t="shared" si="33"/>
        <v>4620408.704493151</v>
      </c>
      <c r="J111" s="12">
        <f t="shared" si="26"/>
        <v>1.428644178940466E-2</v>
      </c>
    </row>
    <row r="112" spans="1:10">
      <c r="A112">
        <v>2018</v>
      </c>
      <c r="B112" s="17" t="s">
        <v>549</v>
      </c>
      <c r="C112" s="55">
        <f t="shared" si="28"/>
        <v>122968266</v>
      </c>
      <c r="D112" s="55"/>
      <c r="E112" s="55">
        <f t="shared" si="29"/>
        <v>3885751.83</v>
      </c>
      <c r="F112" s="55">
        <f t="shared" si="30"/>
        <v>6882173.6700000018</v>
      </c>
      <c r="G112" s="55">
        <f t="shared" si="31"/>
        <v>0</v>
      </c>
      <c r="H112" s="55">
        <f t="shared" si="32"/>
        <v>920525.19</v>
      </c>
      <c r="I112" s="55">
        <f t="shared" si="33"/>
        <v>126063025.8409315</v>
      </c>
      <c r="J112" s="12">
        <f t="shared" si="26"/>
        <v>3.0823881975537447E-2</v>
      </c>
    </row>
    <row r="113" spans="1:10">
      <c r="A113">
        <v>2018</v>
      </c>
      <c r="B113" s="17" t="s">
        <v>711</v>
      </c>
      <c r="C113" s="55">
        <f t="shared" si="28"/>
        <v>91912349</v>
      </c>
      <c r="D113" s="55"/>
      <c r="E113" s="55">
        <f t="shared" si="29"/>
        <v>3572210.2799999993</v>
      </c>
      <c r="F113" s="55">
        <f t="shared" si="30"/>
        <v>3517099.8399999994</v>
      </c>
      <c r="G113" s="55">
        <f t="shared" si="31"/>
        <v>0</v>
      </c>
      <c r="H113" s="55">
        <f t="shared" si="32"/>
        <v>1903298.1400000001</v>
      </c>
      <c r="I113" s="55">
        <f t="shared" si="33"/>
        <v>93414266.320219174</v>
      </c>
      <c r="J113" s="12">
        <f t="shared" ref="J113" si="36">IF(I113=0,#N/A,E113/I113)</f>
        <v>3.8240521718113707E-2</v>
      </c>
    </row>
    <row r="114" spans="1:10">
      <c r="A114">
        <v>2018</v>
      </c>
      <c r="B114" s="17" t="s">
        <v>712</v>
      </c>
      <c r="C114" s="55">
        <f t="shared" si="28"/>
        <v>66835604</v>
      </c>
      <c r="D114" s="55"/>
      <c r="E114" s="55">
        <f t="shared" si="29"/>
        <v>3023156.8899999997</v>
      </c>
      <c r="F114" s="55">
        <f t="shared" si="30"/>
        <v>3892000.37</v>
      </c>
      <c r="G114" s="55">
        <f t="shared" si="31"/>
        <v>0</v>
      </c>
      <c r="H114" s="55">
        <f t="shared" si="32"/>
        <v>747103.65999999992</v>
      </c>
      <c r="I114" s="55">
        <f t="shared" si="33"/>
        <v>67888611.885863006</v>
      </c>
      <c r="J114" s="12">
        <f t="shared" si="26"/>
        <v>4.4531134250949914E-2</v>
      </c>
    </row>
    <row r="115" spans="1:10">
      <c r="A115">
        <v>2018</v>
      </c>
      <c r="B115" s="17" t="s">
        <v>551</v>
      </c>
      <c r="C115" s="55">
        <f t="shared" si="28"/>
        <v>31830616.509999998</v>
      </c>
      <c r="D115" s="55"/>
      <c r="E115" s="55">
        <f t="shared" si="29"/>
        <v>1842996.48</v>
      </c>
      <c r="F115" s="55">
        <f t="shared" si="30"/>
        <v>2796467.74</v>
      </c>
      <c r="G115" s="55">
        <f t="shared" si="31"/>
        <v>0</v>
      </c>
      <c r="H115" s="55">
        <f t="shared" si="32"/>
        <v>617724.01</v>
      </c>
      <c r="I115" s="55">
        <f t="shared" si="33"/>
        <v>33279571.899684936</v>
      </c>
      <c r="J115" s="12">
        <f t="shared" si="26"/>
        <v>5.537921237554886E-2</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17</vt:i4>
      </vt:variant>
      <vt:variant>
        <vt:lpstr>Graphiques</vt:lpstr>
      </vt:variant>
      <vt:variant>
        <vt:i4>1</vt:i4>
      </vt:variant>
    </vt:vector>
  </HeadingPairs>
  <TitlesOfParts>
    <vt:vector size="18" baseType="lpstr">
      <vt:lpstr>LisezMoi</vt:lpstr>
      <vt:lpstr>liste_indices</vt:lpstr>
      <vt:lpstr>formules</vt:lpstr>
      <vt:lpstr>precisions</vt:lpstr>
      <vt:lpstr>emprunts</vt:lpstr>
      <vt:lpstr>refinancements</vt:lpstr>
      <vt:lpstr>emprunts_annees</vt:lpstr>
      <vt:lpstr>preteurs_annees</vt:lpstr>
      <vt:lpstr>categories_annees</vt:lpstr>
      <vt:lpstr>totaux</vt:lpstr>
      <vt:lpstr>Estimations</vt:lpstr>
      <vt:lpstr>Courrier</vt:lpstr>
      <vt:lpstr>pour_pointage_par_emprunt</vt:lpstr>
      <vt:lpstr>documentation</vt:lpstr>
      <vt:lpstr>vieux</vt:lpstr>
      <vt:lpstr>conditions</vt:lpstr>
      <vt:lpstr>pages</vt:lpstr>
      <vt:lpstr>graphe_pointage</vt:lpstr>
    </vt:vector>
  </TitlesOfParts>
  <Company>Isee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 Lefebvre-Naré</dc:creator>
  <cp:lastModifiedBy>F. Lefebvre-Naré</cp:lastModifiedBy>
  <cp:lastPrinted>2019-05-07T06:58:14Z</cp:lastPrinted>
  <dcterms:created xsi:type="dcterms:W3CDTF">2019-04-06T07:32:22Z</dcterms:created>
  <dcterms:modified xsi:type="dcterms:W3CDTF">2020-02-27T17:41:02Z</dcterms:modified>
</cp:coreProperties>
</file>